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1970" windowHeight="3150" tabRatio="703" activeTab="0"/>
  </bookViews>
  <sheets>
    <sheet name="DATOS" sheetId="1" r:id="rId1"/>
    <sheet name="PLANILLA HONORARIOS" sheetId="2" r:id="rId2"/>
    <sheet name="Categorías de Obra" sheetId="3" r:id="rId3"/>
    <sheet name="Valores Indicativos Mínimos" sheetId="4" r:id="rId4"/>
    <sheet name="Tablas honorarios" sheetId="5" state="hidden" r:id="rId5"/>
  </sheets>
  <definedNames>
    <definedName name="_TT11">'Tablas honorarios'!#REF!</definedName>
    <definedName name="_TT2">'Tablas honorarios'!$C$19:$E$23</definedName>
    <definedName name="_TT4">'Tablas honorarios'!$C$30:$O$37</definedName>
    <definedName name="_TT5">'Tablas honorarios'!$C$44:$G$51</definedName>
    <definedName name="_TT8">'Tablas honorarios'!$C$59:$W$64</definedName>
    <definedName name="_Tv1">#REF!</definedName>
    <definedName name="_Tv2">#REF!</definedName>
    <definedName name="_xlnm.Print_Area" localSheetId="0">'DATOS'!$C$2:$S$64</definedName>
    <definedName name="_xlnm.Print_Area" localSheetId="1">'PLANILLA HONORARIOS'!$A$1:$R$80</definedName>
    <definedName name="Tcientos" localSheetId="4">'Tablas honorarios'!$A$3:$E$27</definedName>
    <definedName name="Tcientos">#REF!</definedName>
    <definedName name="Tsi">'DATOS'!$N$27:$P$32</definedName>
    <definedName name="TT8m">'Tablas honorarios'!$C$73:$O$77</definedName>
    <definedName name="Tun" localSheetId="4">'Tablas honorarios'!$A$3:$C$57</definedName>
    <definedName name="Tun">#REF!</definedName>
    <definedName name="Tuno" localSheetId="4">'Tablas honorarios'!$A$3:$D$51</definedName>
    <definedName name="Tuno">#REF!</definedName>
    <definedName name="Tv0">#REF!</definedName>
  </definedNames>
  <calcPr fullCalcOnLoad="1"/>
</workbook>
</file>

<file path=xl/sharedStrings.xml><?xml version="1.0" encoding="utf-8"?>
<sst xmlns="http://schemas.openxmlformats.org/spreadsheetml/2006/main" count="293" uniqueCount="213">
  <si>
    <t>Fecha</t>
  </si>
  <si>
    <t>Comitente</t>
  </si>
  <si>
    <t>Profesional</t>
  </si>
  <si>
    <t>Obra</t>
  </si>
  <si>
    <t>Sist. ejecución</t>
  </si>
  <si>
    <t>CONSULTAS</t>
  </si>
  <si>
    <t>a)-Rápida sin valor fundado</t>
  </si>
  <si>
    <t xml:space="preserve">b)-Fundada, global, detallada, sin computo </t>
  </si>
  <si>
    <t>TASACIONES</t>
  </si>
  <si>
    <t>c)-Fundada, detallada</t>
  </si>
  <si>
    <t xml:space="preserve">d)-Fundada, detallada y computo. Obras </t>
  </si>
  <si>
    <t>e)-Fundada, detall. y comp. Instalaciones</t>
  </si>
  <si>
    <t>f )-Fundada, detall., comp. análisis. Obras</t>
  </si>
  <si>
    <t>REPRESENT.</t>
  </si>
  <si>
    <t>Art.1º -Rep.Tec. obras públicas o privadas</t>
  </si>
  <si>
    <t>TECNICA</t>
  </si>
  <si>
    <t>Art.2º - Rep. Tec. de proveedores</t>
  </si>
  <si>
    <t>%</t>
  </si>
  <si>
    <t>PROYECTO</t>
  </si>
  <si>
    <t>DIRECCIÓN</t>
  </si>
  <si>
    <t>MEDICIÓN</t>
  </si>
  <si>
    <t>CÓMPUTO</t>
  </si>
  <si>
    <t>TOTAL</t>
  </si>
  <si>
    <t xml:space="preserve"> </t>
  </si>
  <si>
    <t>y</t>
  </si>
  <si>
    <t>para la obra :</t>
  </si>
  <si>
    <t>(a)</t>
  </si>
  <si>
    <t>(b)</t>
  </si>
  <si>
    <t>Valor en juego TOTAL</t>
  </si>
  <si>
    <t>(c)</t>
  </si>
  <si>
    <t>TITULO ( II )   -  CONSULTAS  INFORMES  ESTUDIOS</t>
  </si>
  <si>
    <t xml:space="preserve">Consulta </t>
  </si>
  <si>
    <t>Informe:</t>
  </si>
  <si>
    <t>Hasta</t>
  </si>
  <si>
    <t>Sobre</t>
  </si>
  <si>
    <t xml:space="preserve">el </t>
  </si>
  <si>
    <t>TITULO ( IV )   - TASACIONES</t>
  </si>
  <si>
    <t>TITULO ( V )   - REPRESENTACIÓN  TÉCNICA</t>
  </si>
  <si>
    <t xml:space="preserve">Hasta </t>
  </si>
  <si>
    <t>TITULO ( VIII )pd   - PROYECTO  Y  DIRECCIÓN</t>
  </si>
  <si>
    <t>Catr Nº</t>
  </si>
  <si>
    <t>TITULO ( VIII )mc   - MEDICIÓN  y  COMPUTO</t>
  </si>
  <si>
    <t>(d)</t>
  </si>
  <si>
    <t>DESCOMPOSICIÓN  DEL HONORARIO</t>
  </si>
  <si>
    <t>Firma y sello del Profesional</t>
  </si>
  <si>
    <t>INFORMES</t>
  </si>
  <si>
    <t>Y ESTUDIOS</t>
  </si>
  <si>
    <t>TT2</t>
  </si>
  <si>
    <t>a</t>
  </si>
  <si>
    <t>b</t>
  </si>
  <si>
    <t>c</t>
  </si>
  <si>
    <t>d</t>
  </si>
  <si>
    <t>e</t>
  </si>
  <si>
    <t>f</t>
  </si>
  <si>
    <t>TT4</t>
  </si>
  <si>
    <t>TT5</t>
  </si>
  <si>
    <t>y DIRECCIÓN</t>
  </si>
  <si>
    <t>TT8</t>
  </si>
  <si>
    <t>catigotia=</t>
  </si>
  <si>
    <t>MEDICIONES</t>
  </si>
  <si>
    <t>Y COMPUTO</t>
  </si>
  <si>
    <t>TT8m</t>
  </si>
  <si>
    <t>HONORARIO CONVENIDO</t>
  </si>
  <si>
    <t>SI</t>
  </si>
  <si>
    <t>c')-Dias de Gabinete a $ / c/u</t>
  </si>
  <si>
    <t>Visado Colegio</t>
  </si>
  <si>
    <t>Aporte Caja 10%</t>
  </si>
  <si>
    <t>Timbrado</t>
  </si>
  <si>
    <t xml:space="preserve">Según presupuesto </t>
  </si>
  <si>
    <t>Total Gastos</t>
  </si>
  <si>
    <t>Planilla anexa correspondiente al contrato celebrado el:</t>
  </si>
  <si>
    <t>entre:</t>
  </si>
  <si>
    <t>VISADO</t>
  </si>
  <si>
    <t>……………………………………………….</t>
  </si>
  <si>
    <t>Aporte Caja</t>
  </si>
  <si>
    <t xml:space="preserve">% </t>
  </si>
  <si>
    <t>Honorario Mínimo según Colegio de Ingenieros</t>
  </si>
  <si>
    <t>Honorario Convenido Profesional - Comitente</t>
  </si>
  <si>
    <t>DATOS  PARA  LAS  PLANILLAS  ANEXAS  -  CIVIL</t>
  </si>
  <si>
    <t>Proyecto ( VIII )pd</t>
  </si>
  <si>
    <t xml:space="preserve">Otros (II)+(IV)+(VIII)mc </t>
  </si>
  <si>
    <t>Dirección ( VIII )pd</t>
  </si>
  <si>
    <t>Suplementos ( VIII )pd</t>
  </si>
  <si>
    <t>Otros ( V )</t>
  </si>
  <si>
    <t>Honorario Total s/Dec. 6964/65</t>
  </si>
  <si>
    <t>(A)</t>
  </si>
  <si>
    <t>(B)</t>
  </si>
  <si>
    <t>(A+B)</t>
  </si>
  <si>
    <t>Direcc. Ejecutiva</t>
  </si>
  <si>
    <t>Direcc. Cont. Sep.</t>
  </si>
  <si>
    <t>Contrato Único</t>
  </si>
  <si>
    <t>Existente</t>
  </si>
  <si>
    <t>Matrícula Nº</t>
  </si>
  <si>
    <t>Determinación del Valor en Juego</t>
  </si>
  <si>
    <t>Valor en Juego
Según Valores
indicativos mínimos
y/o presupuesto
adjunto</t>
  </si>
  <si>
    <t>Total</t>
  </si>
  <si>
    <t xml:space="preserve"> Según presupuesto adjunto</t>
  </si>
  <si>
    <t>TOTAL VALOR EN JUEGO</t>
  </si>
  <si>
    <t>Item. Nº</t>
  </si>
  <si>
    <r>
      <t>Cant. m</t>
    </r>
    <r>
      <rPr>
        <vertAlign val="superscript"/>
        <sz val="10"/>
        <rFont val="Arial"/>
        <family val="2"/>
      </rPr>
      <t>2</t>
    </r>
  </si>
  <si>
    <r>
      <t>Valor m</t>
    </r>
    <r>
      <rPr>
        <vertAlign val="superscript"/>
        <sz val="10"/>
        <rFont val="Arial"/>
        <family val="2"/>
      </rPr>
      <t>2</t>
    </r>
  </si>
  <si>
    <t>a) Según mérito y resposabilidad -minimo</t>
  </si>
  <si>
    <t>b) Con  inspecc. ocular, en localidad - c/u</t>
  </si>
  <si>
    <t>a) Sin inspección ocular - c/u</t>
  </si>
  <si>
    <t>b) Según tiempo empleado - minimo</t>
  </si>
  <si>
    <t>c) Según valor en juego</t>
  </si>
  <si>
    <t>Título
II</t>
  </si>
  <si>
    <t>a) Trabajos sin intervención</t>
  </si>
  <si>
    <t>b) Trabajos  costes y costas</t>
  </si>
  <si>
    <t>c) Interpretación proyecto</t>
  </si>
  <si>
    <t>d) Contratos separados</t>
  </si>
  <si>
    <t>a) Medición de construcción y planos</t>
  </si>
  <si>
    <t>c) Medición de plano y documentac. PH</t>
  </si>
  <si>
    <t>d) Medición de const. y documentac. PH</t>
  </si>
  <si>
    <t>e) Cómputo métrico  sobre planos</t>
  </si>
  <si>
    <t>f ) Cómputo métrico sobre medición obra</t>
  </si>
  <si>
    <t>Título
IV</t>
  </si>
  <si>
    <t>Título
V</t>
  </si>
  <si>
    <t>Título
VIII</t>
  </si>
  <si>
    <t>Estudio de propuesta en licitaciones</t>
  </si>
  <si>
    <t>a) Según mérito y responsabilidad</t>
  </si>
  <si>
    <t>b) Según tiempo empleado mínimo</t>
  </si>
  <si>
    <t>c) Días de gabinete</t>
  </si>
  <si>
    <t>Item</t>
  </si>
  <si>
    <r>
      <t>Cant. m</t>
    </r>
    <r>
      <rPr>
        <vertAlign val="superscript"/>
        <sz val="9"/>
        <rFont val="Arial"/>
        <family val="2"/>
      </rPr>
      <t>2</t>
    </r>
  </si>
  <si>
    <r>
      <t>Precios mínimos m</t>
    </r>
    <r>
      <rPr>
        <vertAlign val="superscript"/>
        <sz val="9"/>
        <rFont val="Arial"/>
        <family val="2"/>
      </rPr>
      <t>2</t>
    </r>
  </si>
  <si>
    <r>
      <t>ESTIMACIÓN  DEL  VALOR  EN  JUEGO</t>
    </r>
    <r>
      <rPr>
        <sz val="9"/>
        <rFont val="Arial"/>
        <family val="2"/>
      </rPr>
      <t xml:space="preserve"> - monto de obra -, según Titulo VIII  -  arts. 15 , 16 ,  19 y/o presupuesto</t>
    </r>
  </si>
  <si>
    <t>SISTEMA  DE  EJECUCIÓN  DE  OBRA:</t>
  </si>
  <si>
    <t>DETERMINACIÓN  DEL  HONORARIO</t>
  </si>
  <si>
    <t>INGENIERIA CIVIL</t>
  </si>
  <si>
    <r>
      <t>CATEGORIA 1</t>
    </r>
    <r>
      <rPr>
        <b/>
        <vertAlign val="superscript"/>
        <sz val="10"/>
        <rFont val="Arial"/>
        <family val="2"/>
      </rPr>
      <t>ra</t>
    </r>
    <r>
      <rPr>
        <b/>
        <sz val="10"/>
        <rFont val="Arial"/>
        <family val="2"/>
      </rPr>
      <t xml:space="preserve">: Obras en General - PROYECTO Y DIRECCION </t>
    </r>
  </si>
  <si>
    <r>
      <t xml:space="preserve">Art. 16º.- </t>
    </r>
    <r>
      <rPr>
        <sz val="10"/>
        <rFont val="Arial"/>
        <family val="2"/>
      </rPr>
      <t xml:space="preserve">Las obras de ingeniería civil se clasifican en las categorías siguientes, a los  </t>
    </r>
  </si>
  <si>
    <t>efectos de la aplicación</t>
  </si>
  <si>
    <t>de la tabla XVII. Las obras no mencionadas se clasificarán por analogía,-</t>
  </si>
  <si>
    <t xml:space="preserve">Alcantarillas, caminos, movimientos de tierra de toda clase, muros en seco y pavimentación.- </t>
  </si>
  <si>
    <t>ELECTRICIDAD, MECANICA E INDUSTRIA</t>
  </si>
  <si>
    <r>
      <t>CATEGORIA 3</t>
    </r>
    <r>
      <rPr>
        <b/>
        <vertAlign val="superscript"/>
        <sz val="10"/>
        <rFont val="Arial"/>
        <family val="2"/>
      </rPr>
      <t>ra</t>
    </r>
    <r>
      <rPr>
        <b/>
        <sz val="10"/>
        <rFont val="Arial"/>
        <family val="2"/>
      </rPr>
      <t xml:space="preserve">: Obras en General - PROYECTO Y DIRECCION </t>
    </r>
  </si>
  <si>
    <t xml:space="preserve">Instalaciones  domiciliarias  de:  electricidad, teléfonos, gas, calefacción, ventilación, </t>
  </si>
  <si>
    <t xml:space="preserve">refrigeración, lavaderos, cocinas, cámaras frías, ascensores, aire comprimido, vacío y </t>
  </si>
  <si>
    <t>obras semejantes.-</t>
  </si>
  <si>
    <t xml:space="preserve">CATEGORIA 4ta: Obras en General - PROYECTO Y DIRECCION </t>
  </si>
  <si>
    <r>
      <t xml:space="preserve">Art. 16º.- </t>
    </r>
    <r>
      <rPr>
        <sz val="10"/>
        <rFont val="Arial"/>
        <family val="2"/>
      </rPr>
      <t xml:space="preserve">Las obras de ingeniería civil se clasifican en las categorías siguientes, a los efectos de la aplicación </t>
    </r>
  </si>
  <si>
    <t>Caminos en terrenos boscosos o cenagosos; canales de riego o de desague, defensas de riberas;</t>
  </si>
  <si>
    <t>derrocamientos de diques fijos, fajinajes; ferrocarriles de llanura; fundaciones en tosca o en seco,</t>
  </si>
  <si>
    <t>muros de defensa o contesión de Hº, ladrillo o piedra; obras sanitarias particulares; piletas de nata-</t>
  </si>
  <si>
    <t xml:space="preserve">ción; puentes fijos matálicos o de Hº Aº hasta treinta metros de luz estáticamente determinados; </t>
  </si>
  <si>
    <t xml:space="preserve">puentes de madera, hormigón, ladrillo o piedra, hasta quince metros de luz; tablestacado de todas </t>
  </si>
  <si>
    <t>clases.-</t>
  </si>
  <si>
    <t xml:space="preserve">CATEGORIA 5ta: Obras en General - PROYECTO Y DIRECCION </t>
  </si>
  <si>
    <r>
      <t xml:space="preserve">Art. 17º.- </t>
    </r>
    <r>
      <rPr>
        <sz val="10"/>
        <rFont val="Arial"/>
        <family val="2"/>
      </rPr>
      <t>Las instalaciones eléctricas, industriales, mecánicas y centrales productoras de energía, se clasifican</t>
    </r>
  </si>
  <si>
    <t xml:space="preserve">en las categorías siguientes, a los efectos de la aplicación de la Tabla XVII. Los trabajos no mencionados se </t>
  </si>
  <si>
    <t>clasificarán por analogía,-</t>
  </si>
  <si>
    <t>Redes urbanas de distribución de energía eléctrica, gas, vapor, y telecomunicaciones, instalaciones</t>
  </si>
  <si>
    <t>electricas y mecánicas en industrias, laboratorios, locales de alta tensión y talleres, centrales eléc-</t>
  </si>
  <si>
    <t>tricas individuales para industria.-</t>
  </si>
  <si>
    <t xml:space="preserve">CATEGORIA 6ta: Obras en General - PROYECTO Y DIRECCION </t>
  </si>
  <si>
    <t xml:space="preserve">Aeropuertos; balsas de todas clases, menos ferrocarriles; caminos de montaña; canales de navega-   </t>
  </si>
  <si>
    <t xml:space="preserve">ción, canalización de ríos; construcciones subterráneas, depósitos, fábricas, hangares, defensa de </t>
  </si>
  <si>
    <t>riberas con fundaciones complejas; drenajes en terrenos anegadizos; estudio y correción de suelos;</t>
  </si>
  <si>
    <t>estructuras metálicas y de HºAº no comprendidas en la categoría 1º); ferrocarriles de montaña; funda-</t>
  </si>
  <si>
    <t>ciones bajo agua, con o sin desagotamiento, excluidos los sistemas de aire comprimido, congelación</t>
  </si>
  <si>
    <t>consolidación química; hornos incineradores; muros de defensa o contención con fundaciones com-</t>
  </si>
  <si>
    <t xml:space="preserve">plejas; obras hidraúlicas para plantas hidroeléctricas; presas móviles; perforaciones hasta cien metros </t>
  </si>
  <si>
    <t xml:space="preserve">CATEGORIA 7ma: Obras en General - PROYECTO Y DIRECCION </t>
  </si>
  <si>
    <t xml:space="preserve">Balsas para ferrocarriles; cablecarriles; captación de agua; chimeneas; correción o depuración de </t>
  </si>
  <si>
    <t>aguas, construcciones estáticamente indeterminadas de Hº Aº o metálica; cúlulas y torres; piletas de</t>
  </si>
  <si>
    <t>bodegas; depósitos elevados de más de quince metros de altura; ferrocarriles funiculares; fundacio-</t>
  </si>
  <si>
    <t xml:space="preserve">nes de aire comprimido por congelación y por consolidación química; muros de embalse; obras de </t>
  </si>
  <si>
    <t>saneamiento, urbanas y rurales; perforaciones mayores de cien metros de profundidad; presas mó-</t>
  </si>
  <si>
    <t>viles con fundaciones complejas; puentes móviles; tranvías subterráneos; túneles.-</t>
  </si>
  <si>
    <t>Res. Nº 925: Determínase el honorario profesional para el cálculo de estructuras resisitentes de edidicios,</t>
  </si>
  <si>
    <t>por aplicación de la categoría 7º.</t>
  </si>
  <si>
    <t>Líneas de baja y alta tensión para transporte de energía eléctrica interurbana o a larga distancia,</t>
  </si>
  <si>
    <t>subestaciones de tranformación aérea; conductos para transporte a larga distancia de combustibles</t>
  </si>
  <si>
    <t>líquidos o gas.-</t>
  </si>
  <si>
    <t>CIVIL</t>
  </si>
  <si>
    <t xml:space="preserve">CATEGORIA 8va: Obras en General - PROYECTO Y DIRECCION </t>
  </si>
  <si>
    <t>Matrícula Prof. N°:</t>
  </si>
  <si>
    <t>COLEGIO DE INGENIEROS</t>
  </si>
  <si>
    <t>de la Provincia de Buenos Aires</t>
  </si>
  <si>
    <t>Ley 10.416 y modificatoria 10.698</t>
  </si>
  <si>
    <t>Honorario Mínimo</t>
  </si>
  <si>
    <t>Coeficiente de Actualización</t>
  </si>
  <si>
    <t>El Colegio de Ingenieros sólo realiza timbrados de Contratos
Profesionales dentro de los quince días hábiles a partir de la
fecha de contratación.</t>
  </si>
  <si>
    <t>Resolución Actualización</t>
  </si>
  <si>
    <t>Categoría de la Obra (Ver hoja correspondiente)</t>
  </si>
  <si>
    <t>NO IMPRIMIR ESTA PESTAÑA, IMPRIMIR LA PLANILLA ANEXA MÍNIMO 3 COPIAS</t>
  </si>
  <si>
    <t>Monto Mínimo TV</t>
  </si>
  <si>
    <t>Monto Mínimo Honorarios TV</t>
  </si>
  <si>
    <t>Consulta s/Inspección Ocular</t>
  </si>
  <si>
    <t>Consulta c/Inspección Ocular</t>
  </si>
  <si>
    <t>Mérito y Responsabilidad</t>
  </si>
  <si>
    <t>Tiempo Empleado</t>
  </si>
  <si>
    <t>Día de Gabinete</t>
  </si>
  <si>
    <t>Porcentaje de Timbrado</t>
  </si>
  <si>
    <t>Mínimo Estudio de Oferta</t>
  </si>
  <si>
    <t>e) Dirección Ejecutiva</t>
  </si>
  <si>
    <t>NO</t>
  </si>
  <si>
    <t>T. V. Dif. ART 29</t>
  </si>
  <si>
    <t>INFORMES 
Y
ESTUDIOS</t>
  </si>
  <si>
    <t>SUPLEMENTOS
DE
DIRECCIÓN</t>
  </si>
  <si>
    <r>
      <rPr>
        <b/>
        <i/>
        <u val="single"/>
        <sz val="10"/>
        <rFont val="Arial"/>
        <family val="2"/>
      </rPr>
      <t>INFORME TÉCNICO:</t>
    </r>
    <r>
      <rPr>
        <sz val="10"/>
        <rFont val="Arial"/>
        <family val="2"/>
      </rPr>
      <t xml:space="preserve"> 
El informe técnico debe estar conprendido por los items a, b, c o c' dependiendo de cada caso.
Completar con 100 los items a y b. Si corresponde el item  c' también colocar un 100 sino indicar la cantidad de dias de gabinete.</t>
    </r>
  </si>
  <si>
    <t>T.V. Diferencial</t>
  </si>
  <si>
    <t>b) Medición de construcciones existentes sin confección de planos (para determinar sup cub)</t>
  </si>
  <si>
    <t>Viviendas categoría A</t>
  </si>
  <si>
    <t>c.1.1 - Viviendas categoría A</t>
  </si>
  <si>
    <t>Viv. dentro de las otras categorías, galpones, comercios, depósitos, etc.</t>
  </si>
  <si>
    <t>c.1.2 - Viv. dentro de las otras cat., galpones, comercios, depósitos, etc.</t>
  </si>
  <si>
    <t>Seleccionar categoría de vivienda para medición:</t>
  </si>
  <si>
    <t>Mínimo resolución</t>
  </si>
  <si>
    <t>Límite valor en juego estudio de oferta</t>
  </si>
  <si>
    <t>Valor máximo estudio de oferta</t>
  </si>
  <si>
    <t>Res.559/1314 - Estudio de propuesta en lic. Obr.</t>
  </si>
</sst>
</file>

<file path=xl/styles.xml><?xml version="1.0" encoding="utf-8"?>
<styleSheet xmlns="http://schemas.openxmlformats.org/spreadsheetml/2006/main">
  <numFmts count="2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(&quot;$&quot;* #,##0.00_);_(&quot;$&quot;* \(#,##0.00\);_(&quot;$&quot;* &quot;-&quot;??_);_(@_)"/>
    <numFmt numFmtId="173" formatCode="0.0"/>
    <numFmt numFmtId="174" formatCode="0.000"/>
    <numFmt numFmtId="175" formatCode="[$-2C0A]d&quot; de &quot;mmmm&quot; de &quot;yyyy;@"/>
    <numFmt numFmtId="176" formatCode="#,##0.000"/>
    <numFmt numFmtId="177" formatCode="_ [$$-2C0A]\ * #,##0.00_ ;_ [$$-2C0A]\ * \-#,##0.00_ ;_ [$$-2C0A]\ * &quot;-&quot;??_ ;_ @_ "/>
    <numFmt numFmtId="178" formatCode="dd/mm/yy;@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000"/>
  </numFmts>
  <fonts count="7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i/>
      <u val="single"/>
      <sz val="9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i/>
      <u val="single"/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vertAlign val="superscript"/>
      <sz val="10"/>
      <name val="Arial"/>
      <family val="2"/>
    </font>
    <font>
      <b/>
      <i/>
      <sz val="10"/>
      <name val="Verdana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b/>
      <i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47"/>
      <name val="Arial"/>
      <family val="2"/>
    </font>
    <font>
      <b/>
      <sz val="10"/>
      <color indexed="9"/>
      <name val="Arial"/>
      <family val="2"/>
    </font>
    <font>
      <b/>
      <sz val="12"/>
      <color indexed="10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 tint="-0.1499900072813034"/>
      <name val="Arial"/>
      <family val="2"/>
    </font>
    <font>
      <b/>
      <sz val="10"/>
      <color theme="0" tint="-0.04997999966144562"/>
      <name val="Arial"/>
      <family val="2"/>
    </font>
    <font>
      <b/>
      <i/>
      <sz val="10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hair"/>
      <top style="thin"/>
      <bottom style="hair"/>
    </border>
    <border>
      <left/>
      <right/>
      <top style="thin"/>
      <bottom style="hair"/>
    </border>
    <border>
      <left/>
      <right/>
      <top style="hair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 style="thin"/>
    </border>
    <border>
      <left style="dotted">
        <color rgb="FFFF0000"/>
      </left>
      <right style="dotted">
        <color rgb="FFFF0000"/>
      </right>
      <top style="dotted">
        <color rgb="FFFF0000"/>
      </top>
      <bottom style="dotted">
        <color rgb="FFFF0000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dashed">
        <color rgb="FFFF0000"/>
      </left>
      <right style="dashed">
        <color rgb="FFFF0000"/>
      </right>
      <top style="dashed">
        <color rgb="FFFF0000"/>
      </top>
      <bottom style="dashed">
        <color rgb="FFFF0000"/>
      </bottom>
    </border>
    <border>
      <left style="thin"/>
      <right style="thin"/>
      <top/>
      <bottom style="hair"/>
    </border>
    <border>
      <left style="medium">
        <color rgb="FF00B050"/>
      </left>
      <right/>
      <top style="medium">
        <color rgb="FF00B050"/>
      </top>
      <bottom style="medium">
        <color rgb="FF00B050"/>
      </bottom>
    </border>
    <border>
      <left/>
      <right/>
      <top style="medium">
        <color rgb="FF00B050"/>
      </top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 style="hair"/>
    </border>
    <border>
      <left style="hair"/>
      <right/>
      <top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ck">
        <color theme="4"/>
      </left>
      <right/>
      <top style="thick">
        <color theme="4"/>
      </top>
      <bottom style="thick">
        <color theme="4"/>
      </bottom>
    </border>
    <border>
      <left/>
      <right/>
      <top style="thick">
        <color theme="4"/>
      </top>
      <bottom style="thick">
        <color theme="4"/>
      </bottom>
    </border>
    <border>
      <left style="hair"/>
      <right/>
      <top style="thin"/>
      <bottom style="thin"/>
    </border>
    <border>
      <left/>
      <right style="hair"/>
      <top/>
      <bottom style="hair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 style="dashed">
        <color rgb="FFFF0000"/>
      </left>
      <right/>
      <top style="dashed">
        <color rgb="FFFF0000"/>
      </top>
      <bottom style="dashed">
        <color rgb="FFFF0000"/>
      </bottom>
    </border>
    <border>
      <left/>
      <right/>
      <top style="dashed">
        <color rgb="FFFF0000"/>
      </top>
      <bottom style="dashed">
        <color rgb="FFFF0000"/>
      </bottom>
    </border>
    <border>
      <left/>
      <right style="dashed">
        <color rgb="FFFF0000"/>
      </right>
      <top style="dashed">
        <color rgb="FFFF0000"/>
      </top>
      <bottom style="dashed">
        <color rgb="FFFF0000"/>
      </bottom>
    </border>
    <border>
      <left/>
      <right style="dashed">
        <color rgb="FFFF0000"/>
      </right>
      <top/>
      <bottom style="thin"/>
    </border>
    <border>
      <left style="hair"/>
      <right style="hair"/>
      <top style="thin"/>
      <bottom style="thin"/>
    </border>
    <border>
      <left/>
      <right style="thin"/>
      <top style="thick">
        <color theme="4"/>
      </top>
      <bottom style="thick">
        <color theme="4"/>
      </bottom>
    </border>
    <border>
      <left style="thin"/>
      <right style="thin"/>
      <top style="thick">
        <color theme="4"/>
      </top>
      <bottom style="thick">
        <color theme="4"/>
      </bottom>
    </border>
    <border>
      <left style="thin"/>
      <right style="thick">
        <color theme="4"/>
      </right>
      <top style="thick">
        <color theme="4"/>
      </top>
      <bottom style="thick">
        <color theme="4"/>
      </bottom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dotted">
        <color rgb="FFFF0000"/>
      </right>
      <top/>
      <bottom/>
    </border>
    <border>
      <left style="dotted">
        <color rgb="FFFF0000"/>
      </left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7" fillId="0" borderId="8" applyNumberFormat="0" applyFill="0" applyAlignment="0" applyProtection="0"/>
    <xf numFmtId="0" fontId="68" fillId="0" borderId="9" applyNumberFormat="0" applyFill="0" applyAlignment="0" applyProtection="0"/>
  </cellStyleXfs>
  <cellXfs count="6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1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2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4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33" borderId="18" xfId="0" applyNumberFormat="1" applyFont="1" applyFill="1" applyBorder="1" applyAlignment="1">
      <alignment/>
    </xf>
    <xf numFmtId="2" fontId="0" fillId="0" borderId="0" xfId="0" applyNumberFormat="1" applyAlignment="1">
      <alignment horizontal="center"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1" fontId="0" fillId="0" borderId="0" xfId="0" applyNumberFormat="1" applyAlignment="1">
      <alignment horizontal="center"/>
    </xf>
    <xf numFmtId="4" fontId="0" fillId="0" borderId="28" xfId="0" applyNumberFormat="1" applyBorder="1" applyAlignment="1">
      <alignment/>
    </xf>
    <xf numFmtId="4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1" fontId="0" fillId="0" borderId="21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2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2" fontId="0" fillId="0" borderId="37" xfId="0" applyNumberFormat="1" applyBorder="1" applyAlignment="1">
      <alignment/>
    </xf>
    <xf numFmtId="3" fontId="0" fillId="0" borderId="38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38" xfId="0" applyBorder="1" applyAlignment="1">
      <alignment horizontal="centerContinuous"/>
    </xf>
    <xf numFmtId="0" fontId="0" fillId="0" borderId="21" xfId="0" applyBorder="1" applyAlignment="1">
      <alignment horizontal="centerContinuous"/>
    </xf>
    <xf numFmtId="4" fontId="0" fillId="0" borderId="38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4" fontId="2" fillId="0" borderId="0" xfId="0" applyNumberFormat="1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39" xfId="0" applyFont="1" applyBorder="1" applyAlignment="1">
      <alignment/>
    </xf>
    <xf numFmtId="0" fontId="0" fillId="0" borderId="0" xfId="0" applyFont="1" applyAlignment="1">
      <alignment horizontal="centerContinuous"/>
    </xf>
    <xf numFmtId="0" fontId="16" fillId="0" borderId="0" xfId="0" applyFont="1" applyAlignment="1">
      <alignment vertical="center"/>
    </xf>
    <xf numFmtId="4" fontId="0" fillId="0" borderId="0" xfId="0" applyNumberFormat="1" applyFont="1" applyAlignment="1">
      <alignment horizontal="centerContinuous"/>
    </xf>
    <xf numFmtId="174" fontId="2" fillId="0" borderId="0" xfId="0" applyNumberFormat="1" applyFont="1" applyAlignment="1">
      <alignment horizontal="centerContinuous"/>
    </xf>
    <xf numFmtId="174" fontId="0" fillId="0" borderId="0" xfId="0" applyNumberFormat="1" applyFont="1" applyAlignment="1">
      <alignment horizontal="centerContinuous"/>
    </xf>
    <xf numFmtId="2" fontId="2" fillId="0" borderId="0" xfId="0" applyNumberFormat="1" applyFont="1" applyAlignment="1">
      <alignment horizontal="centerContinuous"/>
    </xf>
    <xf numFmtId="0" fontId="3" fillId="0" borderId="2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73" fontId="14" fillId="0" borderId="0" xfId="0" applyNumberFormat="1" applyFont="1" applyAlignment="1">
      <alignment vertical="center"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0" fontId="17" fillId="0" borderId="0" xfId="0" applyFont="1" applyAlignment="1">
      <alignment/>
    </xf>
    <xf numFmtId="172" fontId="10" fillId="0" borderId="0" xfId="5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4" fontId="3" fillId="0" borderId="0" xfId="0" applyNumberFormat="1" applyFont="1" applyAlignment="1">
      <alignment horizontal="right" vertical="center"/>
    </xf>
    <xf numFmtId="0" fontId="3" fillId="0" borderId="31" xfId="0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2" fontId="3" fillId="0" borderId="40" xfId="0" applyNumberFormat="1" applyFont="1" applyBorder="1" applyAlignment="1">
      <alignment horizontal="center" vertical="center"/>
    </xf>
    <xf numFmtId="2" fontId="3" fillId="0" borderId="41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2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0" fillId="0" borderId="42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3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3" fillId="0" borderId="43" xfId="0" applyFont="1" applyBorder="1" applyAlignment="1">
      <alignment horizontal="center" vertical="center"/>
    </xf>
    <xf numFmtId="172" fontId="3" fillId="0" borderId="40" xfId="5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44" xfId="0" applyFont="1" applyBorder="1" applyAlignment="1">
      <alignment horizontal="center" vertical="center"/>
    </xf>
    <xf numFmtId="172" fontId="3" fillId="0" borderId="41" xfId="51" applyFont="1" applyBorder="1" applyAlignment="1">
      <alignment horizontal="right" vertical="center"/>
    </xf>
    <xf numFmtId="0" fontId="3" fillId="0" borderId="43" xfId="0" applyFont="1" applyBorder="1" applyAlignment="1">
      <alignment vertical="center"/>
    </xf>
    <xf numFmtId="0" fontId="0" fillId="0" borderId="43" xfId="0" applyBorder="1" applyAlignment="1">
      <alignment vertical="center"/>
    </xf>
    <xf numFmtId="4" fontId="3" fillId="0" borderId="43" xfId="0" applyNumberFormat="1" applyFont="1" applyBorder="1" applyAlignment="1">
      <alignment horizontal="left" vertical="center"/>
    </xf>
    <xf numFmtId="0" fontId="3" fillId="0" borderId="43" xfId="0" applyFont="1" applyBorder="1" applyAlignment="1">
      <alignment horizontal="right" vertical="center"/>
    </xf>
    <xf numFmtId="0" fontId="3" fillId="0" borderId="44" xfId="0" applyFont="1" applyBorder="1" applyAlignment="1">
      <alignment horizontal="left" vertical="center"/>
    </xf>
    <xf numFmtId="0" fontId="3" fillId="0" borderId="44" xfId="0" applyFont="1" applyBorder="1" applyAlignment="1">
      <alignment vertical="center"/>
    </xf>
    <xf numFmtId="0" fontId="0" fillId="0" borderId="44" xfId="0" applyBorder="1" applyAlignment="1">
      <alignment vertical="center"/>
    </xf>
    <xf numFmtId="4" fontId="3" fillId="0" borderId="44" xfId="0" applyNumberFormat="1" applyFont="1" applyBorder="1" applyAlignment="1">
      <alignment horizontal="left" vertical="center"/>
    </xf>
    <xf numFmtId="0" fontId="3" fillId="0" borderId="44" xfId="0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30" xfId="0" applyBorder="1" applyAlignment="1">
      <alignment vertical="center"/>
    </xf>
    <xf numFmtId="0" fontId="3" fillId="0" borderId="44" xfId="0" applyFont="1" applyBorder="1" applyAlignment="1">
      <alignment horizontal="left" vertical="center"/>
    </xf>
    <xf numFmtId="173" fontId="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44" xfId="0" applyBorder="1" applyAlignment="1">
      <alignment horizontal="right" vertical="center"/>
    </xf>
    <xf numFmtId="0" fontId="3" fillId="0" borderId="45" xfId="0" applyFont="1" applyBorder="1" applyAlignment="1">
      <alignment horizontal="left" vertical="center"/>
    </xf>
    <xf numFmtId="0" fontId="0" fillId="0" borderId="45" xfId="0" applyBorder="1" applyAlignment="1">
      <alignment vertical="center"/>
    </xf>
    <xf numFmtId="0" fontId="0" fillId="0" borderId="45" xfId="0" applyBorder="1" applyAlignment="1">
      <alignment horizontal="right" vertical="center"/>
    </xf>
    <xf numFmtId="0" fontId="3" fillId="0" borderId="45" xfId="0" applyFont="1" applyBorder="1" applyAlignment="1">
      <alignment horizontal="right" vertical="center"/>
    </xf>
    <xf numFmtId="0" fontId="3" fillId="0" borderId="45" xfId="0" applyFont="1" applyBorder="1" applyAlignment="1">
      <alignment vertical="center"/>
    </xf>
    <xf numFmtId="0" fontId="5" fillId="0" borderId="43" xfId="0" applyFont="1" applyBorder="1" applyAlignment="1">
      <alignment horizontal="left" vertical="center"/>
    </xf>
    <xf numFmtId="0" fontId="0" fillId="0" borderId="43" xfId="0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4" fontId="0" fillId="0" borderId="43" xfId="0" applyNumberFormat="1" applyFon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20" xfId="0" applyBorder="1" applyAlignment="1">
      <alignment vertical="center"/>
    </xf>
    <xf numFmtId="3" fontId="3" fillId="0" borderId="45" xfId="0" applyNumberFormat="1" applyFont="1" applyBorder="1" applyAlignment="1">
      <alignment horizontal="right" vertical="center"/>
    </xf>
    <xf numFmtId="0" fontId="5" fillId="0" borderId="43" xfId="0" applyFont="1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4" fontId="0" fillId="0" borderId="43" xfId="0" applyNumberFormat="1" applyBorder="1" applyAlignment="1">
      <alignment horizontal="right" vertical="center"/>
    </xf>
    <xf numFmtId="0" fontId="5" fillId="0" borderId="46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0" fillId="0" borderId="46" xfId="0" applyFont="1" applyBorder="1" applyAlignment="1">
      <alignment vertical="center"/>
    </xf>
    <xf numFmtId="4" fontId="0" fillId="0" borderId="46" xfId="0" applyNumberFormat="1" applyFont="1" applyBorder="1" applyAlignment="1">
      <alignment horizontal="right" vertical="center"/>
    </xf>
    <xf numFmtId="0" fontId="3" fillId="0" borderId="46" xfId="0" applyFont="1" applyBorder="1" applyAlignment="1">
      <alignment horizontal="right" vertical="center"/>
    </xf>
    <xf numFmtId="0" fontId="3" fillId="0" borderId="44" xfId="0" applyFont="1" applyBorder="1" applyAlignment="1">
      <alignment horizontal="centerContinuous" vertical="center"/>
    </xf>
    <xf numFmtId="0" fontId="3" fillId="0" borderId="45" xfId="0" applyFont="1" applyBorder="1" applyAlignment="1">
      <alignment horizontal="centerContinuous" vertical="center"/>
    </xf>
    <xf numFmtId="0" fontId="3" fillId="0" borderId="45" xfId="0" applyFont="1" applyBorder="1" applyAlignment="1">
      <alignment horizontal="left" vertical="center"/>
    </xf>
    <xf numFmtId="4" fontId="11" fillId="0" borderId="43" xfId="0" applyNumberFormat="1" applyFont="1" applyBorder="1" applyAlignment="1">
      <alignment horizontal="left" vertical="center"/>
    </xf>
    <xf numFmtId="4" fontId="3" fillId="0" borderId="4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4" fontId="11" fillId="0" borderId="44" xfId="0" applyNumberFormat="1" applyFont="1" applyBorder="1" applyAlignment="1">
      <alignment horizontal="left" vertical="center"/>
    </xf>
    <xf numFmtId="172" fontId="3" fillId="0" borderId="44" xfId="51" applyFont="1" applyBorder="1" applyAlignment="1">
      <alignment horizontal="right" vertical="center"/>
    </xf>
    <xf numFmtId="2" fontId="3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3" fontId="3" fillId="0" borderId="13" xfId="0" applyNumberFormat="1" applyFont="1" applyBorder="1" applyAlignment="1">
      <alignment vertical="center"/>
    </xf>
    <xf numFmtId="172" fontId="3" fillId="0" borderId="31" xfId="51" applyFont="1" applyBorder="1" applyAlignment="1">
      <alignment horizontal="right" vertical="center"/>
    </xf>
    <xf numFmtId="0" fontId="3" fillId="0" borderId="47" xfId="0" applyFont="1" applyBorder="1" applyAlignment="1">
      <alignment horizontal="left" vertical="center"/>
    </xf>
    <xf numFmtId="0" fontId="3" fillId="0" borderId="47" xfId="0" applyFont="1" applyBorder="1" applyAlignment="1">
      <alignment vertical="center"/>
    </xf>
    <xf numFmtId="0" fontId="3" fillId="0" borderId="47" xfId="0" applyFont="1" applyBorder="1" applyAlignment="1">
      <alignment horizontal="left" vertical="center"/>
    </xf>
    <xf numFmtId="0" fontId="0" fillId="0" borderId="47" xfId="0" applyBorder="1" applyAlignment="1">
      <alignment vertical="center"/>
    </xf>
    <xf numFmtId="0" fontId="3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0" fillId="0" borderId="50" xfId="0" applyBorder="1" applyAlignment="1">
      <alignment vertical="center"/>
    </xf>
    <xf numFmtId="0" fontId="0" fillId="0" borderId="48" xfId="0" applyBorder="1" applyAlignment="1">
      <alignment vertical="center"/>
    </xf>
    <xf numFmtId="0" fontId="6" fillId="0" borderId="51" xfId="0" applyFont="1" applyBorder="1" applyAlignment="1">
      <alignment horizontal="left" vertical="center"/>
    </xf>
    <xf numFmtId="0" fontId="3" fillId="0" borderId="52" xfId="0" applyFont="1" applyBorder="1" applyAlignment="1">
      <alignment horizontal="left" vertical="center"/>
    </xf>
    <xf numFmtId="0" fontId="3" fillId="0" borderId="48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45" xfId="0" applyFont="1" applyBorder="1" applyAlignment="1">
      <alignment horizontal="center" vertical="center"/>
    </xf>
    <xf numFmtId="0" fontId="2" fillId="0" borderId="0" xfId="55" applyFont="1">
      <alignment/>
      <protection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0" fillId="34" borderId="0" xfId="0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2" fillId="0" borderId="0" xfId="57" applyFont="1">
      <alignment/>
      <protection/>
    </xf>
    <xf numFmtId="0" fontId="0" fillId="0" borderId="0" xfId="57" applyFont="1">
      <alignment/>
      <protection/>
    </xf>
    <xf numFmtId="0" fontId="2" fillId="0" borderId="0" xfId="58" applyFont="1">
      <alignment/>
      <protection/>
    </xf>
    <xf numFmtId="0" fontId="0" fillId="0" borderId="0" xfId="58" applyFont="1">
      <alignment/>
      <protection/>
    </xf>
    <xf numFmtId="0" fontId="2" fillId="0" borderId="0" xfId="59" applyFont="1">
      <alignment/>
      <protection/>
    </xf>
    <xf numFmtId="0" fontId="0" fillId="0" borderId="0" xfId="59" applyFont="1">
      <alignment/>
      <protection/>
    </xf>
    <xf numFmtId="0" fontId="2" fillId="0" borderId="0" xfId="60" applyFont="1">
      <alignment/>
      <protection/>
    </xf>
    <xf numFmtId="0" fontId="0" fillId="0" borderId="0" xfId="60" applyFont="1">
      <alignment/>
      <protection/>
    </xf>
    <xf numFmtId="0" fontId="2" fillId="0" borderId="0" xfId="61" applyFont="1">
      <alignment/>
      <protection/>
    </xf>
    <xf numFmtId="0" fontId="0" fillId="0" borderId="0" xfId="61" applyFont="1">
      <alignment/>
      <protection/>
    </xf>
    <xf numFmtId="0" fontId="2" fillId="0" borderId="0" xfId="62" applyFont="1">
      <alignment/>
      <protection/>
    </xf>
    <xf numFmtId="0" fontId="0" fillId="0" borderId="0" xfId="62">
      <alignment/>
      <protection/>
    </xf>
    <xf numFmtId="172" fontId="2" fillId="0" borderId="0" xfId="51" applyFont="1" applyAlignment="1">
      <alignment horizontal="center" vertical="center"/>
    </xf>
    <xf numFmtId="0" fontId="69" fillId="0" borderId="0" xfId="0" applyFont="1" applyAlignment="1">
      <alignment/>
    </xf>
    <xf numFmtId="0" fontId="13" fillId="0" borderId="0" xfId="0" applyFont="1" applyAlignment="1">
      <alignment/>
    </xf>
    <xf numFmtId="2" fontId="3" fillId="0" borderId="54" xfId="0" applyNumberFormat="1" applyFont="1" applyBorder="1" applyAlignment="1">
      <alignment horizontal="center" vertical="center"/>
    </xf>
    <xf numFmtId="172" fontId="3" fillId="0" borderId="54" xfId="5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3" fontId="24" fillId="0" borderId="0" xfId="0" applyNumberFormat="1" applyFont="1" applyAlignment="1">
      <alignment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vertical="top"/>
    </xf>
    <xf numFmtId="0" fontId="4" fillId="0" borderId="0" xfId="0" applyFont="1" applyAlignment="1">
      <alignment vertical="top"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9" fillId="0" borderId="3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35" borderId="49" xfId="0" applyFont="1" applyFill="1" applyBorder="1" applyAlignment="1">
      <alignment/>
    </xf>
    <xf numFmtId="0" fontId="0" fillId="35" borderId="43" xfId="0" applyFont="1" applyFill="1" applyBorder="1" applyAlignment="1">
      <alignment/>
    </xf>
    <xf numFmtId="3" fontId="0" fillId="35" borderId="43" xfId="0" applyNumberFormat="1" applyFont="1" applyFill="1" applyBorder="1" applyAlignment="1">
      <alignment horizontal="centerContinuous"/>
    </xf>
    <xf numFmtId="1" fontId="0" fillId="35" borderId="43" xfId="0" applyNumberFormat="1" applyFont="1" applyFill="1" applyBorder="1" applyAlignment="1">
      <alignment horizontal="centerContinuous"/>
    </xf>
    <xf numFmtId="0" fontId="0" fillId="35" borderId="48" xfId="0" applyFont="1" applyFill="1" applyBorder="1" applyAlignment="1">
      <alignment/>
    </xf>
    <xf numFmtId="0" fontId="0" fillId="35" borderId="45" xfId="0" applyFont="1" applyFill="1" applyBorder="1" applyAlignment="1">
      <alignment/>
    </xf>
    <xf numFmtId="0" fontId="0" fillId="35" borderId="10" xfId="0" applyFont="1" applyFill="1" applyBorder="1" applyAlignment="1">
      <alignment horizontal="centerContinuous"/>
    </xf>
    <xf numFmtId="0" fontId="0" fillId="35" borderId="15" xfId="0" applyFont="1" applyFill="1" applyBorder="1" applyAlignment="1">
      <alignment/>
    </xf>
    <xf numFmtId="0" fontId="0" fillId="35" borderId="47" xfId="0" applyFont="1" applyFill="1" applyBorder="1" applyAlignment="1">
      <alignment/>
    </xf>
    <xf numFmtId="0" fontId="0" fillId="35" borderId="44" xfId="0" applyFont="1" applyFill="1" applyBorder="1" applyAlignment="1">
      <alignment/>
    </xf>
    <xf numFmtId="0" fontId="0" fillId="35" borderId="44" xfId="0" applyFont="1" applyFill="1" applyBorder="1" applyAlignment="1">
      <alignment horizontal="centerContinuous"/>
    </xf>
    <xf numFmtId="0" fontId="0" fillId="35" borderId="47" xfId="0" applyFont="1" applyFill="1" applyBorder="1" applyAlignment="1">
      <alignment horizontal="left"/>
    </xf>
    <xf numFmtId="0" fontId="0" fillId="35" borderId="44" xfId="0" applyFont="1" applyFill="1" applyBorder="1" applyAlignment="1">
      <alignment horizontal="center"/>
    </xf>
    <xf numFmtId="4" fontId="0" fillId="35" borderId="49" xfId="0" applyNumberFormat="1" applyFont="1" applyFill="1" applyBorder="1" applyAlignment="1">
      <alignment horizontal="left"/>
    </xf>
    <xf numFmtId="0" fontId="0" fillId="35" borderId="55" xfId="0" applyFont="1" applyFill="1" applyBorder="1" applyAlignment="1">
      <alignment horizontal="left"/>
    </xf>
    <xf numFmtId="0" fontId="0" fillId="35" borderId="56" xfId="0" applyFont="1" applyFill="1" applyBorder="1" applyAlignment="1">
      <alignment/>
    </xf>
    <xf numFmtId="0" fontId="0" fillId="35" borderId="49" xfId="0" applyFont="1" applyFill="1" applyBorder="1" applyAlignment="1">
      <alignment horizontal="left"/>
    </xf>
    <xf numFmtId="0" fontId="0" fillId="35" borderId="17" xfId="0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left"/>
    </xf>
    <xf numFmtId="0" fontId="70" fillId="35" borderId="15" xfId="0" applyFont="1" applyFill="1" applyBorder="1" applyAlignment="1">
      <alignment/>
    </xf>
    <xf numFmtId="0" fontId="70" fillId="35" borderId="21" xfId="0" applyFont="1" applyFill="1" applyBorder="1" applyAlignment="1">
      <alignment/>
    </xf>
    <xf numFmtId="0" fontId="0" fillId="35" borderId="46" xfId="0" applyFont="1" applyFill="1" applyBorder="1" applyAlignment="1">
      <alignment/>
    </xf>
    <xf numFmtId="0" fontId="0" fillId="35" borderId="52" xfId="0" applyFont="1" applyFill="1" applyBorder="1" applyAlignment="1">
      <alignment/>
    </xf>
    <xf numFmtId="0" fontId="0" fillId="35" borderId="51" xfId="0" applyFont="1" applyFill="1" applyBorder="1" applyAlignment="1">
      <alignment horizontal="center"/>
    </xf>
    <xf numFmtId="0" fontId="0" fillId="35" borderId="52" xfId="0" applyFont="1" applyFill="1" applyBorder="1" applyAlignment="1">
      <alignment horizontal="center"/>
    </xf>
    <xf numFmtId="0" fontId="0" fillId="35" borderId="53" xfId="0" applyFont="1" applyFill="1" applyBorder="1" applyAlignment="1">
      <alignment/>
    </xf>
    <xf numFmtId="0" fontId="0" fillId="35" borderId="47" xfId="0" applyFont="1" applyFill="1" applyBorder="1" applyAlignment="1">
      <alignment horizontal="center"/>
    </xf>
    <xf numFmtId="0" fontId="0" fillId="35" borderId="53" xfId="0" applyFont="1" applyFill="1" applyBorder="1" applyAlignment="1">
      <alignment horizontal="center"/>
    </xf>
    <xf numFmtId="0" fontId="0" fillId="35" borderId="57" xfId="0" applyFont="1" applyFill="1" applyBorder="1" applyAlignment="1">
      <alignment/>
    </xf>
    <xf numFmtId="0" fontId="0" fillId="35" borderId="48" xfId="0" applyFont="1" applyFill="1" applyBorder="1" applyAlignment="1">
      <alignment horizontal="center"/>
    </xf>
    <xf numFmtId="0" fontId="0" fillId="35" borderId="57" xfId="0" applyFont="1" applyFill="1" applyBorder="1" applyAlignment="1">
      <alignment horizontal="center"/>
    </xf>
    <xf numFmtId="0" fontId="0" fillId="35" borderId="50" xfId="0" applyFont="1" applyFill="1" applyBorder="1" applyAlignment="1">
      <alignment/>
    </xf>
    <xf numFmtId="0" fontId="0" fillId="35" borderId="49" xfId="0" applyFont="1" applyFill="1" applyBorder="1" applyAlignment="1">
      <alignment horizontal="center"/>
    </xf>
    <xf numFmtId="0" fontId="0" fillId="35" borderId="50" xfId="0" applyFont="1" applyFill="1" applyBorder="1" applyAlignment="1">
      <alignment horizontal="center"/>
    </xf>
    <xf numFmtId="0" fontId="0" fillId="35" borderId="44" xfId="0" applyFont="1" applyFill="1" applyBorder="1" applyAlignment="1">
      <alignment/>
    </xf>
    <xf numFmtId="0" fontId="0" fillId="35" borderId="53" xfId="0" applyFont="1" applyFill="1" applyBorder="1" applyAlignment="1">
      <alignment horizontal="centerContinuous"/>
    </xf>
    <xf numFmtId="4" fontId="0" fillId="35" borderId="43" xfId="0" applyNumberFormat="1" applyFont="1" applyFill="1" applyBorder="1" applyAlignment="1">
      <alignment horizontal="centerContinuous"/>
    </xf>
    <xf numFmtId="2" fontId="0" fillId="35" borderId="43" xfId="0" applyNumberFormat="1" applyFont="1" applyFill="1" applyBorder="1" applyAlignment="1">
      <alignment horizontal="centerContinuous"/>
    </xf>
    <xf numFmtId="4" fontId="0" fillId="35" borderId="45" xfId="0" applyNumberFormat="1" applyFont="1" applyFill="1" applyBorder="1" applyAlignment="1">
      <alignment horizontal="centerContinuous"/>
    </xf>
    <xf numFmtId="2" fontId="0" fillId="35" borderId="45" xfId="0" applyNumberFormat="1" applyFont="1" applyFill="1" applyBorder="1" applyAlignment="1">
      <alignment horizontal="centerContinuous"/>
    </xf>
    <xf numFmtId="14" fontId="0" fillId="35" borderId="48" xfId="0" applyNumberFormat="1" applyFont="1" applyFill="1" applyBorder="1" applyAlignment="1">
      <alignment/>
    </xf>
    <xf numFmtId="0" fontId="0" fillId="35" borderId="45" xfId="0" applyFont="1" applyFill="1" applyBorder="1" applyAlignment="1">
      <alignment/>
    </xf>
    <xf numFmtId="0" fontId="0" fillId="35" borderId="45" xfId="0" applyFont="1" applyFill="1" applyBorder="1" applyAlignment="1">
      <alignment horizontal="centerContinuous"/>
    </xf>
    <xf numFmtId="0" fontId="0" fillId="35" borderId="45" xfId="0" applyFont="1" applyFill="1" applyBorder="1" applyAlignment="1">
      <alignment horizontal="center"/>
    </xf>
    <xf numFmtId="0" fontId="0" fillId="35" borderId="57" xfId="0" applyFont="1" applyFill="1" applyBorder="1" applyAlignment="1">
      <alignment horizontal="left" vertical="center"/>
    </xf>
    <xf numFmtId="0" fontId="71" fillId="35" borderId="15" xfId="0" applyFont="1" applyFill="1" applyBorder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2" fontId="0" fillId="0" borderId="58" xfId="51" applyFont="1" applyBorder="1" applyAlignment="1">
      <alignment/>
    </xf>
    <xf numFmtId="172" fontId="0" fillId="0" borderId="0" xfId="51" applyFont="1" applyAlignment="1">
      <alignment/>
    </xf>
    <xf numFmtId="172" fontId="0" fillId="0" borderId="0" xfId="51" applyFont="1" applyAlignment="1">
      <alignment/>
    </xf>
    <xf numFmtId="0" fontId="0" fillId="0" borderId="58" xfId="0" applyBorder="1" applyAlignment="1">
      <alignment/>
    </xf>
    <xf numFmtId="0" fontId="2" fillId="35" borderId="59" xfId="0" applyFont="1" applyFill="1" applyBorder="1" applyAlignment="1">
      <alignment horizontal="centerContinuous"/>
    </xf>
    <xf numFmtId="0" fontId="2" fillId="35" borderId="60" xfId="0" applyFont="1" applyFill="1" applyBorder="1" applyAlignment="1">
      <alignment horizontal="centerContinuous"/>
    </xf>
    <xf numFmtId="0" fontId="2" fillId="35" borderId="61" xfId="0" applyFont="1" applyFill="1" applyBorder="1" applyAlignment="1">
      <alignment horizontal="centerContinuous"/>
    </xf>
    <xf numFmtId="0" fontId="2" fillId="35" borderId="62" xfId="0" applyFont="1" applyFill="1" applyBorder="1" applyAlignment="1">
      <alignment horizontal="centerContinuous"/>
    </xf>
    <xf numFmtId="0" fontId="0" fillId="35" borderId="46" xfId="0" applyFont="1" applyFill="1" applyBorder="1" applyAlignment="1">
      <alignment horizontal="left"/>
    </xf>
    <xf numFmtId="0" fontId="0" fillId="35" borderId="44" xfId="0" applyFont="1" applyFill="1" applyBorder="1" applyAlignment="1">
      <alignment horizontal="left"/>
    </xf>
    <xf numFmtId="0" fontId="0" fillId="35" borderId="45" xfId="0" applyFont="1" applyFill="1" applyBorder="1" applyAlignment="1">
      <alignment horizontal="left"/>
    </xf>
    <xf numFmtId="0" fontId="0" fillId="35" borderId="48" xfId="0" applyFont="1" applyFill="1" applyBorder="1" applyAlignment="1">
      <alignment/>
    </xf>
    <xf numFmtId="0" fontId="0" fillId="35" borderId="63" xfId="0" applyFont="1" applyFill="1" applyBorder="1" applyAlignment="1">
      <alignment horizontal="left" vertical="center"/>
    </xf>
    <xf numFmtId="4" fontId="0" fillId="0" borderId="0" xfId="0" applyNumberFormat="1" applyFont="1" applyAlignment="1">
      <alignment/>
    </xf>
    <xf numFmtId="0" fontId="15" fillId="0" borderId="29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36" borderId="40" xfId="0" applyFont="1" applyFill="1" applyBorder="1" applyAlignment="1" applyProtection="1">
      <alignment horizontal="center" vertical="center"/>
      <protection locked="0"/>
    </xf>
    <xf numFmtId="0" fontId="2" fillId="36" borderId="41" xfId="0" applyFont="1" applyFill="1" applyBorder="1" applyAlignment="1" applyProtection="1">
      <alignment horizontal="center" vertical="center"/>
      <protection locked="0"/>
    </xf>
    <xf numFmtId="0" fontId="2" fillId="36" borderId="64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41" xfId="0" applyFont="1" applyBorder="1" applyAlignment="1" applyProtection="1">
      <alignment horizontal="center" vertical="center"/>
      <protection locked="0"/>
    </xf>
    <xf numFmtId="9" fontId="3" fillId="0" borderId="0" xfId="64" applyFont="1" applyAlignment="1">
      <alignment horizontal="center" vertical="center"/>
    </xf>
    <xf numFmtId="172" fontId="0" fillId="0" borderId="65" xfId="53" applyBorder="1" applyAlignment="1">
      <alignment/>
    </xf>
    <xf numFmtId="183" fontId="0" fillId="0" borderId="65" xfId="55" applyNumberFormat="1" applyBorder="1" applyAlignment="1">
      <alignment horizontal="right"/>
      <protection/>
    </xf>
    <xf numFmtId="0" fontId="0" fillId="0" borderId="65" xfId="55" applyFont="1" applyBorder="1">
      <alignment/>
      <protection/>
    </xf>
    <xf numFmtId="172" fontId="0" fillId="0" borderId="58" xfId="51" applyBorder="1" applyAlignment="1">
      <alignment/>
    </xf>
    <xf numFmtId="0" fontId="0" fillId="35" borderId="52" xfId="0" applyFont="1" applyFill="1" applyBorder="1" applyAlignment="1">
      <alignment horizontal="left" vertical="center"/>
    </xf>
    <xf numFmtId="0" fontId="0" fillId="35" borderId="50" xfId="0" applyFont="1" applyFill="1" applyBorder="1" applyAlignment="1">
      <alignment horizontal="left" vertical="center"/>
    </xf>
    <xf numFmtId="4" fontId="2" fillId="0" borderId="0" xfId="0" applyNumberFormat="1" applyFont="1" applyAlignment="1">
      <alignment horizontal="left"/>
    </xf>
    <xf numFmtId="172" fontId="0" fillId="0" borderId="65" xfId="51" applyFont="1" applyBorder="1" applyAlignment="1">
      <alignment/>
    </xf>
    <xf numFmtId="172" fontId="0" fillId="0" borderId="65" xfId="51" applyFont="1" applyBorder="1" applyAlignment="1">
      <alignment horizontal="center"/>
    </xf>
    <xf numFmtId="0" fontId="0" fillId="35" borderId="44" xfId="0" applyFont="1" applyFill="1" applyBorder="1" applyAlignment="1">
      <alignment horizontal="center" vertical="center"/>
    </xf>
    <xf numFmtId="0" fontId="0" fillId="35" borderId="43" xfId="0" applyFont="1" applyFill="1" applyBorder="1" applyAlignment="1">
      <alignment horizontal="center" vertical="center"/>
    </xf>
    <xf numFmtId="4" fontId="0" fillId="35" borderId="43" xfId="0" applyNumberFormat="1" applyFont="1" applyFill="1" applyBorder="1" applyAlignment="1">
      <alignment horizontal="center" vertical="center"/>
    </xf>
    <xf numFmtId="2" fontId="0" fillId="35" borderId="43" xfId="0" applyNumberFormat="1" applyFont="1" applyFill="1" applyBorder="1" applyAlignment="1">
      <alignment horizontal="center" vertical="center"/>
    </xf>
    <xf numFmtId="0" fontId="0" fillId="35" borderId="47" xfId="0" applyFont="1" applyFill="1" applyBorder="1" applyAlignment="1">
      <alignment horizontal="center" vertical="center"/>
    </xf>
    <xf numFmtId="4" fontId="0" fillId="35" borderId="44" xfId="0" applyNumberFormat="1" applyFont="1" applyFill="1" applyBorder="1" applyAlignment="1">
      <alignment horizontal="center" vertical="center"/>
    </xf>
    <xf numFmtId="2" fontId="0" fillId="35" borderId="44" xfId="0" applyNumberFormat="1" applyFont="1" applyFill="1" applyBorder="1" applyAlignment="1">
      <alignment horizontal="center" vertical="center"/>
    </xf>
    <xf numFmtId="0" fontId="0" fillId="35" borderId="48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4" fontId="0" fillId="35" borderId="45" xfId="0" applyNumberFormat="1" applyFont="1" applyFill="1" applyBorder="1" applyAlignment="1">
      <alignment horizontal="center" vertical="center"/>
    </xf>
    <xf numFmtId="2" fontId="0" fillId="35" borderId="45" xfId="0" applyNumberFormat="1" applyFont="1" applyFill="1" applyBorder="1" applyAlignment="1">
      <alignment horizontal="center" vertical="center"/>
    </xf>
    <xf numFmtId="0" fontId="0" fillId="35" borderId="49" xfId="0" applyFont="1" applyFill="1" applyBorder="1" applyAlignment="1">
      <alignment horizontal="left" vertical="center"/>
    </xf>
    <xf numFmtId="172" fontId="0" fillId="0" borderId="0" xfId="51" applyAlignment="1">
      <alignment/>
    </xf>
    <xf numFmtId="4" fontId="70" fillId="0" borderId="0" xfId="0" applyNumberFormat="1" applyFont="1" applyAlignment="1">
      <alignment horizontal="left"/>
    </xf>
    <xf numFmtId="2" fontId="0" fillId="35" borderId="46" xfId="0" applyNumberFormat="1" applyFont="1" applyFill="1" applyBorder="1" applyAlignment="1">
      <alignment horizontal="center"/>
    </xf>
    <xf numFmtId="2" fontId="0" fillId="35" borderId="0" xfId="0" applyNumberFormat="1" applyFont="1" applyFill="1" applyAlignment="1">
      <alignment horizontal="center"/>
    </xf>
    <xf numFmtId="172" fontId="0" fillId="0" borderId="58" xfId="51" applyFont="1" applyBorder="1" applyAlignment="1">
      <alignment/>
    </xf>
    <xf numFmtId="0" fontId="0" fillId="0" borderId="29" xfId="0" applyFont="1" applyBorder="1" applyAlignment="1">
      <alignment wrapText="1"/>
    </xf>
    <xf numFmtId="0" fontId="0" fillId="0" borderId="0" xfId="0" applyFont="1" applyAlignment="1">
      <alignment wrapText="1"/>
    </xf>
    <xf numFmtId="0" fontId="0" fillId="35" borderId="38" xfId="0" applyFont="1" applyFill="1" applyBorder="1" applyAlignment="1">
      <alignment horizontal="left"/>
    </xf>
    <xf numFmtId="172" fontId="0" fillId="0" borderId="58" xfId="51" applyFont="1" applyBorder="1" applyAlignment="1">
      <alignment/>
    </xf>
    <xf numFmtId="0" fontId="3" fillId="0" borderId="15" xfId="0" applyFont="1" applyBorder="1" applyAlignment="1">
      <alignment horizontal="right" vertical="center"/>
    </xf>
    <xf numFmtId="0" fontId="3" fillId="0" borderId="51" xfId="0" applyFont="1" applyBorder="1" applyAlignment="1">
      <alignment horizontal="left"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4" fontId="3" fillId="0" borderId="46" xfId="0" applyNumberFormat="1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4" fontId="3" fillId="0" borderId="15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72" fontId="8" fillId="35" borderId="66" xfId="51" applyFont="1" applyFill="1" applyBorder="1" applyAlignment="1">
      <alignment horizontal="center" vertical="center"/>
    </xf>
    <xf numFmtId="0" fontId="0" fillId="35" borderId="47" xfId="0" applyFont="1" applyFill="1" applyBorder="1" applyAlignment="1">
      <alignment horizontal="center" vertical="center" wrapText="1"/>
    </xf>
    <xf numFmtId="0" fontId="0" fillId="35" borderId="44" xfId="0" applyFont="1" applyFill="1" applyBorder="1" applyAlignment="1">
      <alignment horizontal="center" vertical="center" wrapText="1"/>
    </xf>
    <xf numFmtId="0" fontId="0" fillId="35" borderId="53" xfId="0" applyFont="1" applyFill="1" applyBorder="1" applyAlignment="1">
      <alignment horizontal="center" vertical="center" wrapText="1"/>
    </xf>
    <xf numFmtId="172" fontId="0" fillId="35" borderId="47" xfId="51" applyFont="1" applyFill="1" applyBorder="1" applyAlignment="1">
      <alignment horizontal="center"/>
    </xf>
    <xf numFmtId="172" fontId="0" fillId="35" borderId="44" xfId="51" applyFont="1" applyFill="1" applyBorder="1" applyAlignment="1">
      <alignment horizontal="center"/>
    </xf>
    <xf numFmtId="172" fontId="0" fillId="35" borderId="53" xfId="51" applyFont="1" applyFill="1" applyBorder="1" applyAlignment="1">
      <alignment horizontal="center"/>
    </xf>
    <xf numFmtId="0" fontId="0" fillId="0" borderId="67" xfId="0" applyFont="1" applyBorder="1" applyAlignment="1" applyProtection="1">
      <alignment horizontal="left" vertical="center"/>
      <protection locked="0"/>
    </xf>
    <xf numFmtId="0" fontId="0" fillId="0" borderId="68" xfId="0" applyFont="1" applyBorder="1" applyAlignment="1" applyProtection="1">
      <alignment horizontal="left" vertical="center"/>
      <protection locked="0"/>
    </xf>
    <xf numFmtId="0" fontId="0" fillId="0" borderId="69" xfId="0" applyFont="1" applyBorder="1" applyAlignment="1" applyProtection="1">
      <alignment horizontal="left" vertical="center"/>
      <protection locked="0"/>
    </xf>
    <xf numFmtId="172" fontId="0" fillId="35" borderId="43" xfId="51" applyFont="1" applyFill="1" applyBorder="1" applyAlignment="1">
      <alignment horizontal="center"/>
    </xf>
    <xf numFmtId="172" fontId="0" fillId="35" borderId="50" xfId="51" applyFont="1" applyFill="1" applyBorder="1" applyAlignment="1">
      <alignment horizontal="center"/>
    </xf>
    <xf numFmtId="0" fontId="8" fillId="8" borderId="38" xfId="0" applyFont="1" applyFill="1" applyBorder="1" applyAlignment="1">
      <alignment horizontal="center"/>
    </xf>
    <xf numFmtId="0" fontId="8" fillId="8" borderId="15" xfId="0" applyFont="1" applyFill="1" applyBorder="1" applyAlignment="1">
      <alignment horizontal="center"/>
    </xf>
    <xf numFmtId="0" fontId="8" fillId="8" borderId="21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172" fontId="0" fillId="35" borderId="45" xfId="51" applyFont="1" applyFill="1" applyBorder="1" applyAlignment="1">
      <alignment horizontal="center"/>
    </xf>
    <xf numFmtId="172" fontId="0" fillId="35" borderId="57" xfId="51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 wrapText="1"/>
    </xf>
    <xf numFmtId="0" fontId="8" fillId="35" borderId="17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172" fontId="2" fillId="35" borderId="14" xfId="51" applyFont="1" applyFill="1" applyBorder="1" applyAlignment="1">
      <alignment horizontal="center" vertical="center"/>
    </xf>
    <xf numFmtId="172" fontId="2" fillId="35" borderId="11" xfId="51" applyFont="1" applyFill="1" applyBorder="1" applyAlignment="1">
      <alignment horizontal="center" vertical="center"/>
    </xf>
    <xf numFmtId="172" fontId="2" fillId="35" borderId="29" xfId="51" applyFont="1" applyFill="1" applyBorder="1" applyAlignment="1">
      <alignment horizontal="center" vertical="center"/>
    </xf>
    <xf numFmtId="172" fontId="2" fillId="35" borderId="0" xfId="51" applyFont="1" applyFill="1" applyAlignment="1">
      <alignment horizontal="center" vertical="center"/>
    </xf>
    <xf numFmtId="172" fontId="2" fillId="35" borderId="30" xfId="51" applyFont="1" applyFill="1" applyBorder="1" applyAlignment="1">
      <alignment horizontal="center" vertical="center"/>
    </xf>
    <xf numFmtId="172" fontId="2" fillId="35" borderId="12" xfId="51" applyFont="1" applyFill="1" applyBorder="1" applyAlignment="1">
      <alignment horizontal="center" vertical="center"/>
    </xf>
    <xf numFmtId="172" fontId="2" fillId="35" borderId="13" xfId="51" applyFont="1" applyFill="1" applyBorder="1" applyAlignment="1">
      <alignment horizontal="center" vertical="center"/>
    </xf>
    <xf numFmtId="172" fontId="2" fillId="35" borderId="20" xfId="51" applyFont="1" applyFill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35" borderId="38" xfId="0" applyFont="1" applyFill="1" applyBorder="1" applyAlignment="1">
      <alignment horizontal="right" vertical="center"/>
    </xf>
    <xf numFmtId="0" fontId="16" fillId="35" borderId="15" xfId="0" applyFont="1" applyFill="1" applyBorder="1" applyAlignment="1">
      <alignment horizontal="right" vertical="center"/>
    </xf>
    <xf numFmtId="0" fontId="16" fillId="35" borderId="21" xfId="0" applyFont="1" applyFill="1" applyBorder="1" applyAlignment="1">
      <alignment horizontal="right" vertical="center"/>
    </xf>
    <xf numFmtId="0" fontId="0" fillId="35" borderId="48" xfId="0" applyFont="1" applyFill="1" applyBorder="1" applyAlignment="1">
      <alignment horizontal="right" vertical="center"/>
    </xf>
    <xf numFmtId="0" fontId="0" fillId="35" borderId="45" xfId="0" applyFont="1" applyFill="1" applyBorder="1" applyAlignment="1">
      <alignment horizontal="right" vertical="center"/>
    </xf>
    <xf numFmtId="0" fontId="0" fillId="35" borderId="13" xfId="0" applyFont="1" applyFill="1" applyBorder="1" applyAlignment="1">
      <alignment horizontal="right" vertical="center"/>
    </xf>
    <xf numFmtId="0" fontId="2" fillId="35" borderId="38" xfId="0" applyFont="1" applyFill="1" applyBorder="1" applyAlignment="1">
      <alignment horizontal="right"/>
    </xf>
    <xf numFmtId="0" fontId="2" fillId="35" borderId="15" xfId="0" applyFont="1" applyFill="1" applyBorder="1" applyAlignment="1">
      <alignment horizontal="right"/>
    </xf>
    <xf numFmtId="0" fontId="2" fillId="35" borderId="21" xfId="0" applyFont="1" applyFill="1" applyBorder="1" applyAlignment="1">
      <alignment horizontal="right"/>
    </xf>
    <xf numFmtId="0" fontId="0" fillId="35" borderId="49" xfId="0" applyFont="1" applyFill="1" applyBorder="1" applyAlignment="1">
      <alignment horizontal="right" vertical="center"/>
    </xf>
    <xf numFmtId="0" fontId="0" fillId="35" borderId="43" xfId="0" applyFont="1" applyFill="1" applyBorder="1" applyAlignment="1">
      <alignment horizontal="right" vertical="center"/>
    </xf>
    <xf numFmtId="172" fontId="8" fillId="35" borderId="31" xfId="51" applyFont="1" applyFill="1" applyBorder="1" applyAlignment="1">
      <alignment horizontal="center" vertical="center"/>
    </xf>
    <xf numFmtId="172" fontId="0" fillId="35" borderId="50" xfId="51" applyFont="1" applyFill="1" applyBorder="1" applyAlignment="1">
      <alignment horizontal="center" vertical="center"/>
    </xf>
    <xf numFmtId="172" fontId="0" fillId="35" borderId="40" xfId="51" applyFont="1" applyFill="1" applyBorder="1" applyAlignment="1">
      <alignment horizontal="center" vertical="center"/>
    </xf>
    <xf numFmtId="172" fontId="0" fillId="0" borderId="70" xfId="51" applyFont="1" applyBorder="1" applyAlignment="1" applyProtection="1">
      <alignment horizontal="center"/>
      <protection locked="0"/>
    </xf>
    <xf numFmtId="172" fontId="0" fillId="0" borderId="71" xfId="51" applyFont="1" applyBorder="1" applyAlignment="1" applyProtection="1">
      <alignment horizontal="center"/>
      <protection locked="0"/>
    </xf>
    <xf numFmtId="172" fontId="0" fillId="35" borderId="15" xfId="51" applyFont="1" applyFill="1" applyBorder="1" applyAlignment="1">
      <alignment horizontal="center"/>
    </xf>
    <xf numFmtId="172" fontId="0" fillId="35" borderId="21" xfId="51" applyFont="1" applyFill="1" applyBorder="1" applyAlignment="1">
      <alignment horizontal="center"/>
    </xf>
    <xf numFmtId="2" fontId="0" fillId="0" borderId="70" xfId="0" applyNumberFormat="1" applyFont="1" applyBorder="1" applyAlignment="1" applyProtection="1">
      <alignment horizontal="center"/>
      <protection locked="0"/>
    </xf>
    <xf numFmtId="2" fontId="0" fillId="0" borderId="71" xfId="0" applyNumberFormat="1" applyFont="1" applyBorder="1" applyAlignment="1" applyProtection="1">
      <alignment horizontal="center"/>
      <protection locked="0"/>
    </xf>
    <xf numFmtId="0" fontId="2" fillId="35" borderId="70" xfId="0" applyFont="1" applyFill="1" applyBorder="1" applyAlignment="1">
      <alignment horizontal="center" vertical="center"/>
    </xf>
    <xf numFmtId="0" fontId="2" fillId="35" borderId="71" xfId="0" applyFont="1" applyFill="1" applyBorder="1" applyAlignment="1">
      <alignment horizontal="center" vertical="center"/>
    </xf>
    <xf numFmtId="172" fontId="2" fillId="35" borderId="19" xfId="51" applyFont="1" applyFill="1" applyBorder="1" applyAlignment="1">
      <alignment horizontal="center" vertical="center"/>
    </xf>
    <xf numFmtId="172" fontId="0" fillId="35" borderId="49" xfId="51" applyFont="1" applyFill="1" applyBorder="1" applyAlignment="1">
      <alignment horizontal="center"/>
    </xf>
    <xf numFmtId="172" fontId="0" fillId="35" borderId="47" xfId="51" applyFont="1" applyFill="1" applyBorder="1" applyAlignment="1">
      <alignment horizontal="center" vertical="center"/>
    </xf>
    <xf numFmtId="172" fontId="0" fillId="35" borderId="44" xfId="51" applyFont="1" applyFill="1" applyBorder="1" applyAlignment="1">
      <alignment horizontal="center" vertical="center"/>
    </xf>
    <xf numFmtId="172" fontId="0" fillId="35" borderId="53" xfId="51" applyFont="1" applyFill="1" applyBorder="1" applyAlignment="1">
      <alignment horizontal="center" vertical="center"/>
    </xf>
    <xf numFmtId="172" fontId="0" fillId="0" borderId="72" xfId="51" applyFont="1" applyBorder="1" applyAlignment="1" applyProtection="1">
      <alignment horizontal="center"/>
      <protection locked="0"/>
    </xf>
    <xf numFmtId="172" fontId="0" fillId="0" borderId="73" xfId="51" applyFont="1" applyBorder="1" applyAlignment="1" applyProtection="1">
      <alignment horizontal="center"/>
      <protection locked="0"/>
    </xf>
    <xf numFmtId="0" fontId="0" fillId="35" borderId="72" xfId="0" applyFont="1" applyFill="1" applyBorder="1" applyAlignment="1">
      <alignment horizontal="center" vertical="center"/>
    </xf>
    <xf numFmtId="0" fontId="0" fillId="35" borderId="74" xfId="0" applyFont="1" applyFill="1" applyBorder="1" applyAlignment="1">
      <alignment horizontal="center" vertical="center"/>
    </xf>
    <xf numFmtId="0" fontId="0" fillId="35" borderId="75" xfId="0" applyFont="1" applyFill="1" applyBorder="1" applyAlignment="1">
      <alignment horizontal="center" vertical="center"/>
    </xf>
    <xf numFmtId="0" fontId="0" fillId="35" borderId="76" xfId="0" applyFont="1" applyFill="1" applyBorder="1" applyAlignment="1">
      <alignment horizontal="center" vertical="center"/>
    </xf>
    <xf numFmtId="0" fontId="0" fillId="35" borderId="77" xfId="0" applyFont="1" applyFill="1" applyBorder="1" applyAlignment="1">
      <alignment horizontal="center" vertical="center"/>
    </xf>
    <xf numFmtId="0" fontId="0" fillId="35" borderId="78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66" xfId="0" applyFont="1" applyBorder="1" applyAlignment="1" applyProtection="1">
      <alignment horizontal="center" vertical="center"/>
      <protection locked="0"/>
    </xf>
    <xf numFmtId="0" fontId="8" fillId="35" borderId="10" xfId="0" applyFont="1" applyFill="1" applyBorder="1" applyAlignment="1">
      <alignment horizontal="center" vertical="center" wrapText="1"/>
    </xf>
    <xf numFmtId="172" fontId="0" fillId="35" borderId="48" xfId="51" applyFont="1" applyFill="1" applyBorder="1" applyAlignment="1">
      <alignment horizontal="center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0" fillId="0" borderId="79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50" xfId="0" applyFont="1" applyBorder="1" applyAlignment="1" applyProtection="1">
      <alignment horizontal="center" vertical="center"/>
      <protection locked="0"/>
    </xf>
    <xf numFmtId="14" fontId="8" fillId="37" borderId="49" xfId="0" applyNumberFormat="1" applyFont="1" applyFill="1" applyBorder="1" applyAlignment="1" applyProtection="1">
      <alignment horizontal="left" vertical="center"/>
      <protection locked="0"/>
    </xf>
    <xf numFmtId="14" fontId="8" fillId="37" borderId="43" xfId="0" applyNumberFormat="1" applyFont="1" applyFill="1" applyBorder="1" applyAlignment="1" applyProtection="1">
      <alignment horizontal="left" vertical="center"/>
      <protection locked="0"/>
    </xf>
    <xf numFmtId="14" fontId="8" fillId="37" borderId="80" xfId="0" applyNumberFormat="1" applyFont="1" applyFill="1" applyBorder="1" applyAlignment="1" applyProtection="1">
      <alignment horizontal="left" vertical="center"/>
      <protection locked="0"/>
    </xf>
    <xf numFmtId="0" fontId="0" fillId="0" borderId="81" xfId="0" applyFont="1" applyBorder="1" applyAlignment="1" applyProtection="1">
      <alignment horizontal="left" vertical="center"/>
      <protection locked="0"/>
    </xf>
    <xf numFmtId="0" fontId="0" fillId="0" borderId="82" xfId="0" applyFont="1" applyBorder="1" applyAlignment="1" applyProtection="1">
      <alignment horizontal="left" vertical="center"/>
      <protection locked="0"/>
    </xf>
    <xf numFmtId="0" fontId="0" fillId="0" borderId="60" xfId="0" applyFont="1" applyBorder="1" applyAlignment="1" applyProtection="1">
      <alignment horizontal="left" vertical="center"/>
      <protection locked="0"/>
    </xf>
    <xf numFmtId="0" fontId="0" fillId="35" borderId="78" xfId="0" applyFont="1" applyFill="1" applyBorder="1" applyAlignment="1">
      <alignment horizontal="center"/>
    </xf>
    <xf numFmtId="0" fontId="0" fillId="35" borderId="45" xfId="0" applyFont="1" applyFill="1" applyBorder="1" applyAlignment="1">
      <alignment horizontal="center"/>
    </xf>
    <xf numFmtId="0" fontId="0" fillId="35" borderId="57" xfId="0" applyFont="1" applyFill="1" applyBorder="1" applyAlignment="1">
      <alignment horizontal="center"/>
    </xf>
    <xf numFmtId="0" fontId="0" fillId="35" borderId="80" xfId="0" applyFont="1" applyFill="1" applyBorder="1" applyAlignment="1">
      <alignment horizontal="center"/>
    </xf>
    <xf numFmtId="0" fontId="0" fillId="35" borderId="42" xfId="0" applyFont="1" applyFill="1" applyBorder="1" applyAlignment="1">
      <alignment horizontal="center"/>
    </xf>
    <xf numFmtId="0" fontId="2" fillId="0" borderId="42" xfId="0" applyFont="1" applyBorder="1" applyAlignment="1" applyProtection="1">
      <alignment horizontal="center"/>
      <protection locked="0"/>
    </xf>
    <xf numFmtId="0" fontId="2" fillId="0" borderId="71" xfId="0" applyFont="1" applyBorder="1" applyAlignment="1" applyProtection="1">
      <alignment horizontal="center"/>
      <protection locked="0"/>
    </xf>
    <xf numFmtId="0" fontId="0" fillId="37" borderId="83" xfId="0" applyFont="1" applyFill="1" applyBorder="1" applyAlignment="1" applyProtection="1">
      <alignment horizontal="left" vertical="center"/>
      <protection locked="0"/>
    </xf>
    <xf numFmtId="0" fontId="0" fillId="37" borderId="84" xfId="0" applyFont="1" applyFill="1" applyBorder="1" applyAlignment="1" applyProtection="1">
      <alignment horizontal="left" vertical="center"/>
      <protection locked="0"/>
    </xf>
    <xf numFmtId="0" fontId="0" fillId="37" borderId="62" xfId="0" applyFont="1" applyFill="1" applyBorder="1" applyAlignment="1" applyProtection="1">
      <alignment horizontal="left" vertical="center"/>
      <protection locked="0"/>
    </xf>
    <xf numFmtId="0" fontId="10" fillId="0" borderId="42" xfId="0" applyFont="1" applyBorder="1" applyAlignment="1" applyProtection="1">
      <alignment horizontal="center"/>
      <protection locked="0"/>
    </xf>
    <xf numFmtId="0" fontId="0" fillId="35" borderId="42" xfId="0" applyFont="1" applyFill="1" applyBorder="1" applyAlignment="1" applyProtection="1">
      <alignment horizontal="center"/>
      <protection locked="0"/>
    </xf>
    <xf numFmtId="3" fontId="0" fillId="35" borderId="85" xfId="0" applyNumberFormat="1" applyFont="1" applyFill="1" applyBorder="1" applyAlignment="1">
      <alignment horizontal="center"/>
    </xf>
    <xf numFmtId="3" fontId="0" fillId="35" borderId="86" xfId="0" applyNumberFormat="1" applyFont="1" applyFill="1" applyBorder="1" applyAlignment="1">
      <alignment horizontal="center"/>
    </xf>
    <xf numFmtId="2" fontId="0" fillId="0" borderId="72" xfId="0" applyNumberFormat="1" applyFont="1" applyBorder="1" applyAlignment="1" applyProtection="1">
      <alignment horizontal="center"/>
      <protection locked="0"/>
    </xf>
    <xf numFmtId="2" fontId="0" fillId="0" borderId="73" xfId="0" applyNumberFormat="1" applyFont="1" applyBorder="1" applyAlignment="1" applyProtection="1">
      <alignment horizontal="center"/>
      <protection locked="0"/>
    </xf>
    <xf numFmtId="0" fontId="0" fillId="35" borderId="87" xfId="0" applyFont="1" applyFill="1" applyBorder="1" applyAlignment="1">
      <alignment horizontal="center"/>
    </xf>
    <xf numFmtId="0" fontId="0" fillId="35" borderId="88" xfId="0" applyFont="1" applyFill="1" applyBorder="1" applyAlignment="1">
      <alignment horizontal="center"/>
    </xf>
    <xf numFmtId="0" fontId="0" fillId="35" borderId="48" xfId="0" applyFont="1" applyFill="1" applyBorder="1" applyAlignment="1">
      <alignment horizontal="left"/>
    </xf>
    <xf numFmtId="0" fontId="0" fillId="35" borderId="45" xfId="0" applyFont="1" applyFill="1" applyBorder="1" applyAlignment="1">
      <alignment/>
    </xf>
    <xf numFmtId="0" fontId="0" fillId="0" borderId="59" xfId="0" applyFont="1" applyBorder="1" applyAlignment="1" applyProtection="1">
      <alignment horizontal="center"/>
      <protection locked="0"/>
    </xf>
    <xf numFmtId="0" fontId="0" fillId="0" borderId="60" xfId="0" applyFont="1" applyBorder="1" applyAlignment="1" applyProtection="1">
      <alignment horizontal="center"/>
      <protection locked="0"/>
    </xf>
    <xf numFmtId="172" fontId="0" fillId="35" borderId="59" xfId="51" applyFont="1" applyFill="1" applyBorder="1" applyAlignment="1">
      <alignment horizontal="center"/>
    </xf>
    <xf numFmtId="172" fontId="0" fillId="35" borderId="82" xfId="51" applyFont="1" applyFill="1" applyBorder="1" applyAlignment="1">
      <alignment horizontal="center"/>
    </xf>
    <xf numFmtId="172" fontId="0" fillId="35" borderId="60" xfId="51" applyFont="1" applyFill="1" applyBorder="1" applyAlignment="1">
      <alignment horizontal="center"/>
    </xf>
    <xf numFmtId="0" fontId="0" fillId="35" borderId="85" xfId="0" applyFont="1" applyFill="1" applyBorder="1" applyAlignment="1">
      <alignment horizontal="center"/>
    </xf>
    <xf numFmtId="0" fontId="0" fillId="35" borderId="89" xfId="0" applyFont="1" applyFill="1" applyBorder="1" applyAlignment="1">
      <alignment horizontal="center"/>
    </xf>
    <xf numFmtId="0" fontId="0" fillId="0" borderId="72" xfId="0" applyFont="1" applyBorder="1" applyAlignment="1" applyProtection="1">
      <alignment horizontal="center"/>
      <protection locked="0"/>
    </xf>
    <xf numFmtId="0" fontId="0" fillId="0" borderId="73" xfId="0" applyFont="1" applyBorder="1" applyAlignment="1" applyProtection="1">
      <alignment horizontal="center"/>
      <protection locked="0"/>
    </xf>
    <xf numFmtId="172" fontId="0" fillId="35" borderId="49" xfId="51" applyFont="1" applyFill="1" applyBorder="1" applyAlignment="1">
      <alignment horizontal="center" vertical="center"/>
    </xf>
    <xf numFmtId="172" fontId="0" fillId="35" borderId="43" xfId="51" applyFont="1" applyFill="1" applyBorder="1" applyAlignment="1">
      <alignment horizontal="center" vertical="center"/>
    </xf>
    <xf numFmtId="0" fontId="8" fillId="8" borderId="38" xfId="0" applyFont="1" applyFill="1" applyBorder="1" applyAlignment="1">
      <alignment horizontal="center" vertical="center" wrapText="1"/>
    </xf>
    <xf numFmtId="0" fontId="8" fillId="8" borderId="15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172" fontId="0" fillId="35" borderId="51" xfId="51" applyFont="1" applyFill="1" applyBorder="1" applyAlignment="1">
      <alignment horizontal="center"/>
    </xf>
    <xf numFmtId="172" fontId="0" fillId="35" borderId="46" xfId="51" applyFont="1" applyFill="1" applyBorder="1" applyAlignment="1">
      <alignment horizontal="center"/>
    </xf>
    <xf numFmtId="172" fontId="0" fillId="35" borderId="52" xfId="51" applyFont="1" applyFill="1" applyBorder="1" applyAlignment="1">
      <alignment horizontal="center"/>
    </xf>
    <xf numFmtId="167" fontId="0" fillId="35" borderId="45" xfId="0" applyNumberFormat="1" applyFont="1" applyFill="1" applyBorder="1" applyAlignment="1">
      <alignment horizontal="center"/>
    </xf>
    <xf numFmtId="0" fontId="0" fillId="35" borderId="57" xfId="0" applyFont="1" applyFill="1" applyBorder="1" applyAlignment="1">
      <alignment/>
    </xf>
    <xf numFmtId="172" fontId="2" fillId="35" borderId="38" xfId="51" applyFont="1" applyFill="1" applyBorder="1" applyAlignment="1">
      <alignment horizontal="center"/>
    </xf>
    <xf numFmtId="172" fontId="2" fillId="35" borderId="15" xfId="51" applyFont="1" applyFill="1" applyBorder="1" applyAlignment="1">
      <alignment horizontal="center"/>
    </xf>
    <xf numFmtId="172" fontId="2" fillId="35" borderId="21" xfId="51" applyFont="1" applyFill="1" applyBorder="1" applyAlignment="1">
      <alignment horizontal="center"/>
    </xf>
    <xf numFmtId="172" fontId="12" fillId="35" borderId="90" xfId="51" applyFont="1" applyFill="1" applyBorder="1" applyAlignment="1">
      <alignment horizontal="center" vertical="center"/>
    </xf>
    <xf numFmtId="172" fontId="12" fillId="35" borderId="74" xfId="51" applyFont="1" applyFill="1" applyBorder="1" applyAlignment="1">
      <alignment horizontal="center" vertical="center"/>
    </xf>
    <xf numFmtId="172" fontId="12" fillId="35" borderId="73" xfId="51" applyFont="1" applyFill="1" applyBorder="1" applyAlignment="1">
      <alignment horizontal="center" vertical="center"/>
    </xf>
    <xf numFmtId="172" fontId="12" fillId="35" borderId="81" xfId="51" applyFont="1" applyFill="1" applyBorder="1" applyAlignment="1">
      <alignment horizontal="center" vertical="center"/>
    </xf>
    <xf numFmtId="172" fontId="12" fillId="35" borderId="82" xfId="51" applyFont="1" applyFill="1" applyBorder="1" applyAlignment="1">
      <alignment horizontal="center" vertical="center"/>
    </xf>
    <xf numFmtId="172" fontId="12" fillId="35" borderId="60" xfId="51" applyFont="1" applyFill="1" applyBorder="1" applyAlignment="1">
      <alignment horizontal="center" vertical="center"/>
    </xf>
    <xf numFmtId="172" fontId="12" fillId="35" borderId="91" xfId="51" applyFont="1" applyFill="1" applyBorder="1" applyAlignment="1">
      <alignment horizontal="center" vertical="center"/>
    </xf>
    <xf numFmtId="172" fontId="12" fillId="35" borderId="77" xfId="51" applyFont="1" applyFill="1" applyBorder="1" applyAlignment="1">
      <alignment horizontal="center" vertical="center"/>
    </xf>
    <xf numFmtId="172" fontId="12" fillId="35" borderId="92" xfId="51" applyFont="1" applyFill="1" applyBorder="1" applyAlignment="1">
      <alignment horizontal="center" vertical="center"/>
    </xf>
    <xf numFmtId="174" fontId="72" fillId="0" borderId="93" xfId="0" applyNumberFormat="1" applyFont="1" applyBorder="1" applyAlignment="1">
      <alignment horizontal="center" vertical="center"/>
    </xf>
    <xf numFmtId="174" fontId="72" fillId="0" borderId="94" xfId="0" applyNumberFormat="1" applyFont="1" applyBorder="1" applyAlignment="1">
      <alignment horizontal="center" vertical="center"/>
    </xf>
    <xf numFmtId="174" fontId="72" fillId="0" borderId="95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96" xfId="0" applyFont="1" applyBorder="1" applyAlignment="1">
      <alignment horizontal="center" vertical="center"/>
    </xf>
    <xf numFmtId="0" fontId="0" fillId="35" borderId="91" xfId="0" applyFont="1" applyFill="1" applyBorder="1" applyAlignment="1">
      <alignment horizontal="center"/>
    </xf>
    <xf numFmtId="0" fontId="0" fillId="35" borderId="77" xfId="0" applyFont="1" applyFill="1" applyBorder="1" applyAlignment="1">
      <alignment horizontal="center"/>
    </xf>
    <xf numFmtId="0" fontId="0" fillId="0" borderId="77" xfId="0" applyFont="1" applyBorder="1" applyAlignment="1" applyProtection="1">
      <alignment horizontal="center"/>
      <protection locked="0"/>
    </xf>
    <xf numFmtId="0" fontId="2" fillId="35" borderId="79" xfId="0" applyFont="1" applyFill="1" applyBorder="1" applyAlignment="1">
      <alignment horizontal="center" vertical="center"/>
    </xf>
    <xf numFmtId="0" fontId="2" fillId="35" borderId="80" xfId="0" applyFont="1" applyFill="1" applyBorder="1" applyAlignment="1">
      <alignment horizontal="center" vertical="center"/>
    </xf>
    <xf numFmtId="0" fontId="0" fillId="35" borderId="70" xfId="0" applyFont="1" applyFill="1" applyBorder="1" applyAlignment="1">
      <alignment horizontal="center" vertical="center"/>
    </xf>
    <xf numFmtId="0" fontId="0" fillId="35" borderId="71" xfId="0" applyFont="1" applyFill="1" applyBorder="1" applyAlignment="1">
      <alignment horizontal="center" vertical="center"/>
    </xf>
    <xf numFmtId="0" fontId="0" fillId="35" borderId="92" xfId="0" applyFont="1" applyFill="1" applyBorder="1" applyAlignment="1">
      <alignment horizontal="center" vertical="center"/>
    </xf>
    <xf numFmtId="0" fontId="16" fillId="35" borderId="85" xfId="0" applyFont="1" applyFill="1" applyBorder="1" applyAlignment="1">
      <alignment horizontal="center"/>
    </xf>
    <xf numFmtId="0" fontId="16" fillId="35" borderId="97" xfId="0" applyFont="1" applyFill="1" applyBorder="1" applyAlignment="1">
      <alignment horizontal="center"/>
    </xf>
    <xf numFmtId="0" fontId="16" fillId="35" borderId="86" xfId="0" applyFont="1" applyFill="1" applyBorder="1" applyAlignment="1">
      <alignment horizontal="center"/>
    </xf>
    <xf numFmtId="0" fontId="15" fillId="35" borderId="70" xfId="0" applyFont="1" applyFill="1" applyBorder="1" applyAlignment="1">
      <alignment horizontal="center" vertical="center" wrapText="1"/>
    </xf>
    <xf numFmtId="0" fontId="15" fillId="35" borderId="71" xfId="0" applyFont="1" applyFill="1" applyBorder="1" applyAlignment="1">
      <alignment horizontal="center" vertical="center"/>
    </xf>
    <xf numFmtId="0" fontId="15" fillId="35" borderId="59" xfId="0" applyFont="1" applyFill="1" applyBorder="1" applyAlignment="1">
      <alignment horizontal="center" vertical="center"/>
    </xf>
    <xf numFmtId="0" fontId="15" fillId="35" borderId="60" xfId="0" applyFont="1" applyFill="1" applyBorder="1" applyAlignment="1">
      <alignment horizontal="center" vertical="center"/>
    </xf>
    <xf numFmtId="0" fontId="15" fillId="35" borderId="76" xfId="0" applyFont="1" applyFill="1" applyBorder="1" applyAlignment="1">
      <alignment horizontal="center" vertical="center"/>
    </xf>
    <xf numFmtId="0" fontId="15" fillId="35" borderId="92" xfId="0" applyFont="1" applyFill="1" applyBorder="1" applyAlignment="1">
      <alignment horizontal="center" vertical="center"/>
    </xf>
    <xf numFmtId="0" fontId="2" fillId="0" borderId="98" xfId="0" applyFont="1" applyBorder="1" applyAlignment="1" applyProtection="1">
      <alignment horizontal="center" vertical="center"/>
      <protection locked="0"/>
    </xf>
    <xf numFmtId="0" fontId="2" fillId="0" borderId="99" xfId="0" applyFont="1" applyBorder="1" applyAlignment="1" applyProtection="1">
      <alignment horizontal="center" vertical="center"/>
      <protection locked="0"/>
    </xf>
    <xf numFmtId="0" fontId="2" fillId="0" borderId="100" xfId="0" applyFont="1" applyBorder="1" applyAlignment="1" applyProtection="1">
      <alignment horizontal="center" vertical="center"/>
      <protection locked="0"/>
    </xf>
    <xf numFmtId="0" fontId="0" fillId="35" borderId="97" xfId="0" applyFont="1" applyFill="1" applyBorder="1" applyAlignment="1">
      <alignment horizontal="center"/>
    </xf>
    <xf numFmtId="0" fontId="0" fillId="35" borderId="86" xfId="0" applyFont="1" applyFill="1" applyBorder="1" applyAlignment="1">
      <alignment horizontal="center"/>
    </xf>
    <xf numFmtId="172" fontId="0" fillId="35" borderId="70" xfId="51" applyFont="1" applyFill="1" applyBorder="1" applyAlignment="1">
      <alignment horizontal="center"/>
    </xf>
    <xf numFmtId="172" fontId="0" fillId="35" borderId="42" xfId="51" applyFont="1" applyFill="1" applyBorder="1" applyAlignment="1">
      <alignment horizontal="center"/>
    </xf>
    <xf numFmtId="172" fontId="0" fillId="35" borderId="71" xfId="51" applyFont="1" applyFill="1" applyBorder="1" applyAlignment="1">
      <alignment horizontal="center"/>
    </xf>
    <xf numFmtId="0" fontId="0" fillId="8" borderId="38" xfId="0" applyFont="1" applyFill="1" applyBorder="1" applyAlignment="1">
      <alignment horizontal="center"/>
    </xf>
    <xf numFmtId="0" fontId="0" fillId="8" borderId="15" xfId="0" applyFont="1" applyFill="1" applyBorder="1" applyAlignment="1">
      <alignment horizontal="center"/>
    </xf>
    <xf numFmtId="0" fontId="0" fillId="8" borderId="21" xfId="0" applyFont="1" applyFill="1" applyBorder="1" applyAlignment="1">
      <alignment horizontal="center"/>
    </xf>
    <xf numFmtId="0" fontId="16" fillId="8" borderId="38" xfId="0" applyFont="1" applyFill="1" applyBorder="1" applyAlignment="1">
      <alignment horizontal="center" vertical="center"/>
    </xf>
    <xf numFmtId="0" fontId="16" fillId="8" borderId="15" xfId="0" applyFont="1" applyFill="1" applyBorder="1" applyAlignment="1">
      <alignment horizontal="center" vertical="center"/>
    </xf>
    <xf numFmtId="0" fontId="16" fillId="8" borderId="21" xfId="0" applyFont="1" applyFill="1" applyBorder="1" applyAlignment="1">
      <alignment horizontal="center" vertical="center"/>
    </xf>
    <xf numFmtId="0" fontId="8" fillId="35" borderId="16" xfId="0" applyFont="1" applyFill="1" applyBorder="1" applyAlignment="1">
      <alignment horizontal="center" vertical="center" wrapText="1"/>
    </xf>
    <xf numFmtId="0" fontId="8" fillId="35" borderId="17" xfId="0" applyFont="1" applyFill="1" applyBorder="1" applyAlignment="1">
      <alignment horizontal="center" vertical="center" wrapText="1"/>
    </xf>
    <xf numFmtId="0" fontId="0" fillId="35" borderId="40" xfId="0" applyFont="1" applyFill="1" applyBorder="1" applyAlignment="1">
      <alignment horizontal="center" vertical="center"/>
    </xf>
    <xf numFmtId="0" fontId="0" fillId="35" borderId="54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172" fontId="0" fillId="35" borderId="48" xfId="51" applyFont="1" applyFill="1" applyBorder="1" applyAlignment="1">
      <alignment horizontal="center" vertical="center"/>
    </xf>
    <xf numFmtId="172" fontId="0" fillId="35" borderId="45" xfId="51" applyFont="1" applyFill="1" applyBorder="1" applyAlignment="1">
      <alignment horizontal="center" vertical="center"/>
    </xf>
    <xf numFmtId="172" fontId="0" fillId="35" borderId="57" xfId="51" applyFont="1" applyFill="1" applyBorder="1" applyAlignment="1">
      <alignment horizontal="center" vertical="center"/>
    </xf>
    <xf numFmtId="172" fontId="0" fillId="0" borderId="72" xfId="51" applyBorder="1" applyAlignment="1" applyProtection="1">
      <alignment horizontal="center" vertical="center"/>
      <protection locked="0"/>
    </xf>
    <xf numFmtId="172" fontId="0" fillId="0" borderId="74" xfId="51" applyFont="1" applyBorder="1" applyAlignment="1" applyProtection="1">
      <alignment horizontal="center" vertical="center"/>
      <protection locked="0"/>
    </xf>
    <xf numFmtId="172" fontId="0" fillId="0" borderId="73" xfId="51" applyFont="1" applyBorder="1" applyAlignment="1" applyProtection="1">
      <alignment horizontal="center" vertical="center"/>
      <protection locked="0"/>
    </xf>
    <xf numFmtId="172" fontId="0" fillId="0" borderId="76" xfId="51" applyFont="1" applyBorder="1" applyAlignment="1" applyProtection="1">
      <alignment horizontal="center" vertical="center"/>
      <protection locked="0"/>
    </xf>
    <xf numFmtId="172" fontId="0" fillId="0" borderId="77" xfId="51" applyFont="1" applyBorder="1" applyAlignment="1" applyProtection="1">
      <alignment horizontal="center" vertical="center"/>
      <protection locked="0"/>
    </xf>
    <xf numFmtId="172" fontId="0" fillId="0" borderId="92" xfId="51" applyFont="1" applyBorder="1" applyAlignment="1" applyProtection="1">
      <alignment horizontal="center" vertical="center"/>
      <protection locked="0"/>
    </xf>
    <xf numFmtId="172" fontId="0" fillId="35" borderId="76" xfId="51" applyFont="1" applyFill="1" applyBorder="1" applyAlignment="1">
      <alignment horizontal="center"/>
    </xf>
    <xf numFmtId="172" fontId="0" fillId="35" borderId="77" xfId="51" applyFont="1" applyFill="1" applyBorder="1" applyAlignment="1">
      <alignment horizontal="center"/>
    </xf>
    <xf numFmtId="172" fontId="0" fillId="35" borderId="92" xfId="51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/>
    </xf>
    <xf numFmtId="0" fontId="8" fillId="8" borderId="19" xfId="0" applyFont="1" applyFill="1" applyBorder="1" applyAlignment="1">
      <alignment horizontal="center"/>
    </xf>
    <xf numFmtId="3" fontId="0" fillId="0" borderId="76" xfId="0" applyNumberFormat="1" applyFont="1" applyBorder="1" applyAlignment="1" applyProtection="1">
      <alignment horizontal="center"/>
      <protection locked="0"/>
    </xf>
    <xf numFmtId="3" fontId="0" fillId="0" borderId="92" xfId="0" applyNumberFormat="1" applyFont="1" applyBorder="1" applyAlignment="1" applyProtection="1">
      <alignment horizontal="center"/>
      <protection locked="0"/>
    </xf>
    <xf numFmtId="172" fontId="0" fillId="0" borderId="101" xfId="51" applyFont="1" applyBorder="1" applyAlignment="1" applyProtection="1">
      <alignment horizontal="center"/>
      <protection locked="0"/>
    </xf>
    <xf numFmtId="172" fontId="0" fillId="0" borderId="102" xfId="51" applyFont="1" applyBorder="1" applyAlignment="1" applyProtection="1">
      <alignment horizontal="center"/>
      <protection locked="0"/>
    </xf>
    <xf numFmtId="2" fontId="0" fillId="0" borderId="101" xfId="0" applyNumberFormat="1" applyFont="1" applyBorder="1" applyAlignment="1" applyProtection="1">
      <alignment horizontal="center"/>
      <protection locked="0"/>
    </xf>
    <xf numFmtId="2" fontId="0" fillId="0" borderId="102" xfId="0" applyNumberFormat="1" applyFont="1" applyBorder="1" applyAlignment="1" applyProtection="1">
      <alignment horizontal="center"/>
      <protection locked="0"/>
    </xf>
    <xf numFmtId="0" fontId="0" fillId="0" borderId="67" xfId="0" applyFont="1" applyBorder="1" applyAlignment="1">
      <alignment horizontal="left"/>
    </xf>
    <xf numFmtId="0" fontId="0" fillId="0" borderId="68" xfId="0" applyFont="1" applyBorder="1" applyAlignment="1">
      <alignment horizontal="left"/>
    </xf>
    <xf numFmtId="0" fontId="0" fillId="0" borderId="69" xfId="0" applyFont="1" applyBorder="1" applyAlignment="1">
      <alignment horizontal="left"/>
    </xf>
    <xf numFmtId="0" fontId="0" fillId="35" borderId="10" xfId="0" applyFont="1" applyFill="1" applyBorder="1" applyAlignment="1">
      <alignment horizontal="center" vertical="center" wrapText="1"/>
    </xf>
    <xf numFmtId="172" fontId="0" fillId="35" borderId="56" xfId="51" applyFont="1" applyFill="1" applyBorder="1" applyAlignment="1">
      <alignment horizontal="center"/>
    </xf>
    <xf numFmtId="172" fontId="0" fillId="35" borderId="63" xfId="51" applyFont="1" applyFill="1" applyBorder="1" applyAlignment="1">
      <alignment horizontal="center"/>
    </xf>
    <xf numFmtId="173" fontId="0" fillId="0" borderId="29" xfId="0" applyNumberFormat="1" applyFont="1" applyBorder="1" applyAlignment="1">
      <alignment horizontal="left" vertical="center" wrapText="1"/>
    </xf>
    <xf numFmtId="173" fontId="0" fillId="0" borderId="0" xfId="0" applyNumberFormat="1" applyFont="1" applyAlignment="1">
      <alignment horizontal="left" vertical="center" wrapText="1"/>
    </xf>
    <xf numFmtId="0" fontId="73" fillId="0" borderId="38" xfId="0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/>
    </xf>
    <xf numFmtId="0" fontId="73" fillId="0" borderId="21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" fillId="35" borderId="31" xfId="0" applyFont="1" applyFill="1" applyBorder="1" applyAlignment="1">
      <alignment horizontal="center" vertical="center"/>
    </xf>
    <xf numFmtId="0" fontId="2" fillId="35" borderId="38" xfId="0" applyFont="1" applyFill="1" applyBorder="1" applyAlignment="1">
      <alignment horizontal="center" vertical="center"/>
    </xf>
    <xf numFmtId="172" fontId="2" fillId="35" borderId="31" xfId="51" applyFont="1" applyFill="1" applyBorder="1" applyAlignment="1">
      <alignment horizontal="center" vertical="center"/>
    </xf>
    <xf numFmtId="0" fontId="16" fillId="35" borderId="11" xfId="0" applyFont="1" applyFill="1" applyBorder="1" applyAlignment="1">
      <alignment horizontal="right" vertical="center"/>
    </xf>
    <xf numFmtId="0" fontId="16" fillId="35" borderId="19" xfId="0" applyFont="1" applyFill="1" applyBorder="1" applyAlignment="1">
      <alignment horizontal="right" vertical="center"/>
    </xf>
    <xf numFmtId="0" fontId="0" fillId="35" borderId="47" xfId="0" applyFont="1" applyFill="1" applyBorder="1" applyAlignment="1">
      <alignment horizontal="center" vertical="center"/>
    </xf>
    <xf numFmtId="0" fontId="0" fillId="35" borderId="44" xfId="0" applyFont="1" applyFill="1" applyBorder="1" applyAlignment="1">
      <alignment horizontal="center" vertical="center"/>
    </xf>
    <xf numFmtId="177" fontId="8" fillId="35" borderId="47" xfId="51" applyNumberFormat="1" applyFont="1" applyFill="1" applyBorder="1" applyAlignment="1">
      <alignment horizontal="center" vertical="center"/>
    </xf>
    <xf numFmtId="177" fontId="8" fillId="35" borderId="44" xfId="51" applyNumberFormat="1" applyFont="1" applyFill="1" applyBorder="1" applyAlignment="1">
      <alignment horizontal="center" vertical="center"/>
    </xf>
    <xf numFmtId="177" fontId="8" fillId="35" borderId="53" xfId="51" applyNumberFormat="1" applyFont="1" applyFill="1" applyBorder="1" applyAlignment="1">
      <alignment horizontal="center" vertical="center"/>
    </xf>
    <xf numFmtId="172" fontId="2" fillId="0" borderId="31" xfId="51" applyFont="1" applyBorder="1" applyAlignment="1" applyProtection="1">
      <alignment horizontal="center" vertical="center"/>
      <protection locked="0"/>
    </xf>
    <xf numFmtId="0" fontId="0" fillId="35" borderId="51" xfId="0" applyFont="1" applyFill="1" applyBorder="1" applyAlignment="1">
      <alignment horizontal="right" vertical="center"/>
    </xf>
    <xf numFmtId="0" fontId="0" fillId="35" borderId="46" xfId="0" applyFont="1" applyFill="1" applyBorder="1" applyAlignment="1">
      <alignment horizontal="right" vertical="center"/>
    </xf>
    <xf numFmtId="0" fontId="0" fillId="35" borderId="0" xfId="0" applyFont="1" applyFill="1" applyAlignment="1">
      <alignment horizontal="right" vertical="center"/>
    </xf>
    <xf numFmtId="172" fontId="0" fillId="35" borderId="54" xfId="51" applyFont="1" applyFill="1" applyBorder="1" applyAlignment="1">
      <alignment horizontal="center" vertical="center"/>
    </xf>
    <xf numFmtId="172" fontId="3" fillId="0" borderId="44" xfId="51" applyFont="1" applyBorder="1" applyAlignment="1">
      <alignment horizontal="center" vertical="center"/>
    </xf>
    <xf numFmtId="172" fontId="3" fillId="0" borderId="53" xfId="5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2" fontId="3" fillId="0" borderId="13" xfId="51" applyFont="1" applyBorder="1" applyAlignment="1">
      <alignment horizontal="center" vertical="center"/>
    </xf>
    <xf numFmtId="172" fontId="3" fillId="0" borderId="56" xfId="51" applyFont="1" applyBorder="1" applyAlignment="1">
      <alignment horizontal="center" vertical="center"/>
    </xf>
    <xf numFmtId="172" fontId="3" fillId="0" borderId="63" xfId="51" applyFont="1" applyBorder="1" applyAlignment="1">
      <alignment horizontal="center" vertical="center"/>
    </xf>
    <xf numFmtId="172" fontId="3" fillId="0" borderId="43" xfId="51" applyFont="1" applyBorder="1" applyAlignment="1">
      <alignment horizontal="center" vertical="center"/>
    </xf>
    <xf numFmtId="172" fontId="3" fillId="0" borderId="50" xfId="51" applyFont="1" applyBorder="1" applyAlignment="1">
      <alignment horizontal="center" vertical="center"/>
    </xf>
    <xf numFmtId="172" fontId="3" fillId="0" borderId="45" xfId="51" applyFont="1" applyBorder="1" applyAlignment="1">
      <alignment horizontal="center" vertical="center"/>
    </xf>
    <xf numFmtId="172" fontId="3" fillId="0" borderId="57" xfId="51" applyFont="1" applyBorder="1" applyAlignment="1">
      <alignment horizontal="center" vertical="center"/>
    </xf>
    <xf numFmtId="172" fontId="3" fillId="0" borderId="15" xfId="51" applyFont="1" applyBorder="1" applyAlignment="1">
      <alignment horizontal="center" vertical="center"/>
    </xf>
    <xf numFmtId="172" fontId="3" fillId="0" borderId="21" xfId="51" applyFont="1" applyBorder="1" applyAlignment="1">
      <alignment horizontal="center" vertical="center"/>
    </xf>
    <xf numFmtId="172" fontId="9" fillId="0" borderId="15" xfId="51" applyFont="1" applyBorder="1" applyAlignment="1">
      <alignment horizontal="center" vertical="center"/>
    </xf>
    <xf numFmtId="172" fontId="9" fillId="0" borderId="21" xfId="51" applyFont="1" applyBorder="1" applyAlignment="1">
      <alignment horizontal="center" vertical="center"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172" fontId="3" fillId="0" borderId="13" xfId="51" applyFont="1" applyBorder="1" applyAlignment="1">
      <alignment horizontal="center"/>
    </xf>
    <xf numFmtId="172" fontId="3" fillId="0" borderId="20" xfId="51" applyFont="1" applyBorder="1" applyAlignment="1">
      <alignment horizontal="center"/>
    </xf>
    <xf numFmtId="172" fontId="3" fillId="0" borderId="0" xfId="51" applyFont="1" applyAlignment="1">
      <alignment horizontal="center" vertical="center"/>
    </xf>
    <xf numFmtId="172" fontId="3" fillId="0" borderId="30" xfId="51" applyFont="1" applyBorder="1" applyAlignment="1">
      <alignment horizontal="center" vertical="center"/>
    </xf>
    <xf numFmtId="172" fontId="3" fillId="0" borderId="11" xfId="51" applyFont="1" applyBorder="1" applyAlignment="1">
      <alignment horizontal="center" vertical="center"/>
    </xf>
    <xf numFmtId="172" fontId="3" fillId="0" borderId="19" xfId="51" applyFont="1" applyBorder="1" applyAlignment="1">
      <alignment horizontal="center" vertical="center"/>
    </xf>
    <xf numFmtId="172" fontId="9" fillId="0" borderId="15" xfId="51" applyFont="1" applyBorder="1" applyAlignment="1">
      <alignment horizontal="center"/>
    </xf>
    <xf numFmtId="172" fontId="9" fillId="0" borderId="21" xfId="51" applyFont="1" applyBorder="1" applyAlignment="1">
      <alignment horizontal="center"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3" fontId="3" fillId="0" borderId="47" xfId="0" applyNumberFormat="1" applyFont="1" applyBorder="1" applyAlignment="1">
      <alignment horizontal="center" vertical="center"/>
    </xf>
    <xf numFmtId="3" fontId="3" fillId="0" borderId="44" xfId="0" applyNumberFormat="1" applyFont="1" applyBorder="1" applyAlignment="1">
      <alignment horizontal="center" vertical="center"/>
    </xf>
    <xf numFmtId="3" fontId="3" fillId="0" borderId="53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center"/>
    </xf>
    <xf numFmtId="172" fontId="3" fillId="0" borderId="49" xfId="51" applyFont="1" applyBorder="1" applyAlignment="1">
      <alignment horizontal="center" vertical="center"/>
    </xf>
    <xf numFmtId="172" fontId="3" fillId="0" borderId="47" xfId="51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172" fontId="16" fillId="0" borderId="14" xfId="51" applyFont="1" applyBorder="1" applyAlignment="1">
      <alignment horizontal="center" vertical="center"/>
    </xf>
    <xf numFmtId="172" fontId="16" fillId="0" borderId="11" xfId="51" applyFont="1" applyBorder="1" applyAlignment="1">
      <alignment horizontal="center" vertical="center"/>
    </xf>
    <xf numFmtId="172" fontId="16" fillId="0" borderId="19" xfId="51" applyFont="1" applyBorder="1" applyAlignment="1">
      <alignment horizontal="center" vertical="center"/>
    </xf>
    <xf numFmtId="172" fontId="16" fillId="0" borderId="29" xfId="51" applyFont="1" applyBorder="1" applyAlignment="1">
      <alignment horizontal="center" vertical="center"/>
    </xf>
    <xf numFmtId="172" fontId="16" fillId="0" borderId="0" xfId="51" applyFont="1" applyAlignment="1">
      <alignment horizontal="center" vertical="center"/>
    </xf>
    <xf numFmtId="172" fontId="16" fillId="0" borderId="30" xfId="51" applyFont="1" applyBorder="1" applyAlignment="1">
      <alignment horizontal="center" vertical="center"/>
    </xf>
    <xf numFmtId="172" fontId="16" fillId="0" borderId="12" xfId="51" applyFont="1" applyBorder="1" applyAlignment="1">
      <alignment horizontal="center" vertical="center"/>
    </xf>
    <xf numFmtId="172" fontId="16" fillId="0" borderId="13" xfId="51" applyFont="1" applyBorder="1" applyAlignment="1">
      <alignment horizontal="center" vertical="center"/>
    </xf>
    <xf numFmtId="172" fontId="16" fillId="0" borderId="20" xfId="51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2" fontId="3" fillId="0" borderId="46" xfId="51" applyFont="1" applyBorder="1" applyAlignment="1">
      <alignment horizontal="center" vertical="center"/>
    </xf>
    <xf numFmtId="172" fontId="3" fillId="0" borderId="52" xfId="51" applyFont="1" applyBorder="1" applyAlignment="1">
      <alignment horizontal="center" vertical="center"/>
    </xf>
    <xf numFmtId="0" fontId="3" fillId="0" borderId="38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172" fontId="3" fillId="0" borderId="48" xfId="51" applyFont="1" applyBorder="1" applyAlignment="1">
      <alignment horizontal="center" vertical="center"/>
    </xf>
    <xf numFmtId="3" fontId="3" fillId="0" borderId="48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3" fontId="3" fillId="0" borderId="57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3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23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172" fontId="0" fillId="0" borderId="103" xfId="51" applyBorder="1" applyAlignment="1">
      <alignment horizontal="center" vertical="center"/>
    </xf>
    <xf numFmtId="172" fontId="0" fillId="0" borderId="104" xfId="51" applyBorder="1" applyAlignment="1">
      <alignment horizontal="center" vertical="center"/>
    </xf>
    <xf numFmtId="172" fontId="16" fillId="0" borderId="105" xfId="51" applyFont="1" applyBorder="1" applyAlignment="1">
      <alignment horizontal="center" vertical="center"/>
    </xf>
    <xf numFmtId="172" fontId="16" fillId="0" borderId="106" xfId="51" applyFont="1" applyBorder="1" applyAlignment="1">
      <alignment horizontal="center" vertical="center"/>
    </xf>
    <xf numFmtId="172" fontId="16" fillId="0" borderId="107" xfId="5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175" fontId="3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178" fontId="9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4" fillId="0" borderId="0" xfId="0" applyFont="1" applyAlignment="1">
      <alignment horizontal="center"/>
    </xf>
    <xf numFmtId="0" fontId="75" fillId="0" borderId="0" xfId="0" applyFont="1" applyAlignment="1">
      <alignment horizontal="center" vertical="center"/>
    </xf>
    <xf numFmtId="0" fontId="75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08" xfId="0" applyFont="1" applyBorder="1" applyAlignment="1">
      <alignment horizontal="center"/>
    </xf>
    <xf numFmtId="4" fontId="2" fillId="0" borderId="109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08" xfId="0" applyNumberFormat="1" applyFont="1" applyBorder="1" applyAlignment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73</xdr:row>
      <xdr:rowOff>57150</xdr:rowOff>
    </xdr:from>
    <xdr:to>
      <xdr:col>18</xdr:col>
      <xdr:colOff>9525</xdr:colOff>
      <xdr:row>79</xdr:row>
      <xdr:rowOff>66675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0" y="10544175"/>
          <a:ext cx="8410575" cy="1095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Previo a la firma de todo contrato, el profesional deberá tener vigente su matrícula.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Decreto nº 784/71 Art. 2º: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“El profesional es directamente responsable ante el Colegio de Ingenieros, por la determinación del monto de sus honorarios, en caso de duda deberá consultar al referido Colegio”.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Decreto nº 784/71 Art. 5º: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“Cuando la realización efectiva de los trabajos contratados difiera de aquella prevista para la regulación de honorarios, éstos deberán reajustarse de acuerdo al Arancel”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“Ningún Organismo provincial, municipal o privado, dará aprobación final a ninguna documentación técnica presentada por Ingenieros, que carezca de las constancias de haberse realizado la visación por el Colegio de Ingenieros” 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Art. 6º bis – Ley 10.416 y modif. 10.698</a:t>
          </a:r>
        </a:p>
      </xdr:txBody>
    </xdr:sp>
    <xdr:clientData/>
  </xdr:twoCellAnchor>
  <xdr:twoCellAnchor>
    <xdr:from>
      <xdr:col>9</xdr:col>
      <xdr:colOff>371475</xdr:colOff>
      <xdr:row>0</xdr:row>
      <xdr:rowOff>0</xdr:rowOff>
    </xdr:from>
    <xdr:to>
      <xdr:col>10</xdr:col>
      <xdr:colOff>295275</xdr:colOff>
      <xdr:row>3</xdr:row>
      <xdr:rowOff>19050</xdr:rowOff>
    </xdr:to>
    <xdr:sp>
      <xdr:nvSpPr>
        <xdr:cNvPr id="2" name="8 CuadroTexto"/>
        <xdr:cNvSpPr txBox="1">
          <a:spLocks noChangeArrowheads="1"/>
        </xdr:cNvSpPr>
      </xdr:nvSpPr>
      <xdr:spPr>
        <a:xfrm>
          <a:off x="3838575" y="0"/>
          <a:ext cx="466725" cy="466725"/>
        </a:xfrm>
        <a:prstGeom prst="rect">
          <a:avLst/>
        </a:prstGeom>
        <a:blipFill>
          <a:blip r:embed="rId1">
            <a:alphaModFix amt="37000"/>
          </a:blip>
          <a:srcRect/>
          <a:stretch>
            <a:fillRect/>
          </a:stretch>
        </a:blipFill>
        <a:ln w="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619125</xdr:colOff>
      <xdr:row>86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01125" cy="13954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609600</xdr:colOff>
      <xdr:row>0</xdr:row>
      <xdr:rowOff>0</xdr:rowOff>
    </xdr:from>
    <xdr:to>
      <xdr:col>23</xdr:col>
      <xdr:colOff>438150</xdr:colOff>
      <xdr:row>87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991600" y="0"/>
          <a:ext cx="8972550" cy="14211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23</xdr:col>
      <xdr:colOff>438150</xdr:colOff>
      <xdr:row>0</xdr:row>
      <xdr:rowOff>0</xdr:rowOff>
    </xdr:from>
    <xdr:to>
      <xdr:col>35</xdr:col>
      <xdr:colOff>257175</xdr:colOff>
      <xdr:row>79</xdr:row>
      <xdr:rowOff>47625</xdr:rowOff>
    </xdr:to>
    <xdr:pic>
      <xdr:nvPicPr>
        <xdr:cNvPr id="3" name="Imagen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964150" y="0"/>
          <a:ext cx="8963025" cy="1283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G77"/>
  <sheetViews>
    <sheetView showZeros="0" tabSelected="1" showOutlineSymbols="0" zoomScalePageLayoutView="0" workbookViewId="0" topLeftCell="A2">
      <selection activeCell="E11" sqref="E11:F11"/>
    </sheetView>
  </sheetViews>
  <sheetFormatPr defaultColWidth="11.421875" defaultRowHeight="12.75"/>
  <cols>
    <col min="1" max="1" width="1.1484375" style="63" customWidth="1"/>
    <col min="2" max="2" width="1.7109375" style="63" hidden="1" customWidth="1"/>
    <col min="3" max="3" width="6.57421875" style="63" customWidth="1"/>
    <col min="4" max="4" width="16.00390625" style="63" customWidth="1"/>
    <col min="5" max="5" width="8.8515625" style="63" customWidth="1"/>
    <col min="6" max="6" width="0.71875" style="63" customWidth="1"/>
    <col min="7" max="7" width="8.421875" style="63" customWidth="1"/>
    <col min="8" max="8" width="1.421875" style="63" customWidth="1"/>
    <col min="9" max="10" width="9.28125" style="63" customWidth="1"/>
    <col min="11" max="11" width="4.28125" style="63" customWidth="1"/>
    <col min="12" max="12" width="7.140625" style="63" customWidth="1"/>
    <col min="13" max="13" width="10.28125" style="63" customWidth="1"/>
    <col min="14" max="14" width="7.140625" style="63" customWidth="1"/>
    <col min="15" max="15" width="13.140625" style="63" customWidth="1"/>
    <col min="16" max="16" width="2.7109375" style="63" customWidth="1"/>
    <col min="17" max="17" width="9.00390625" style="63" customWidth="1"/>
    <col min="18" max="18" width="3.8515625" style="63" customWidth="1"/>
    <col min="19" max="20" width="3.7109375" style="63" customWidth="1"/>
    <col min="21" max="21" width="8.7109375" style="63" customWidth="1"/>
    <col min="22" max="22" width="2.7109375" style="63" customWidth="1"/>
    <col min="23" max="23" width="4.140625" style="63" customWidth="1"/>
    <col min="24" max="24" width="3.8515625" style="63" customWidth="1"/>
    <col min="25" max="25" width="5.28125" style="63" customWidth="1"/>
    <col min="26" max="26" width="2.8515625" style="63" customWidth="1"/>
    <col min="27" max="27" width="8.140625" style="63" customWidth="1"/>
    <col min="28" max="28" width="11.421875" style="63" customWidth="1"/>
    <col min="29" max="29" width="10.8515625" style="63" customWidth="1"/>
    <col min="30" max="30" width="20.57421875" style="63" customWidth="1"/>
    <col min="31" max="31" width="16.140625" style="63" bestFit="1" customWidth="1"/>
    <col min="32" max="16384" width="11.421875" style="63" customWidth="1"/>
  </cols>
  <sheetData>
    <row r="1" ht="5.25" customHeight="1" hidden="1"/>
    <row r="2" spans="3:26" s="61" customFormat="1" ht="28.5" customHeight="1">
      <c r="C2" s="473" t="s">
        <v>78</v>
      </c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4"/>
      <c r="T2" s="470">
        <f>'Tablas honorarios'!C2</f>
        <v>2.23</v>
      </c>
      <c r="U2" s="471"/>
      <c r="V2" s="472"/>
      <c r="W2" s="67"/>
      <c r="X2" s="67"/>
      <c r="Y2" s="67"/>
      <c r="Z2" s="67"/>
    </row>
    <row r="3" spans="3:19" ht="12.75">
      <c r="C3" s="389" t="s">
        <v>0</v>
      </c>
      <c r="D3" s="390"/>
      <c r="E3" s="413"/>
      <c r="F3" s="414"/>
      <c r="G3" s="414"/>
      <c r="H3" s="414"/>
      <c r="I3" s="414"/>
      <c r="J3" s="414"/>
      <c r="K3" s="414"/>
      <c r="L3" s="414"/>
      <c r="M3" s="414"/>
      <c r="N3" s="415"/>
      <c r="O3" s="478" t="s">
        <v>92</v>
      </c>
      <c r="P3" s="479"/>
      <c r="Q3" s="410"/>
      <c r="R3" s="411"/>
      <c r="S3" s="412"/>
    </row>
    <row r="4" spans="3:21" ht="12" customHeight="1">
      <c r="C4" s="267" t="s">
        <v>1</v>
      </c>
      <c r="D4" s="268"/>
      <c r="E4" s="416"/>
      <c r="F4" s="417"/>
      <c r="G4" s="417"/>
      <c r="H4" s="417"/>
      <c r="I4" s="417"/>
      <c r="J4" s="417"/>
      <c r="K4" s="417"/>
      <c r="L4" s="417"/>
      <c r="M4" s="417"/>
      <c r="N4" s="417"/>
      <c r="O4" s="417"/>
      <c r="P4" s="417"/>
      <c r="Q4" s="417"/>
      <c r="R4" s="417"/>
      <c r="S4" s="418"/>
      <c r="T4" s="93"/>
      <c r="U4" s="93"/>
    </row>
    <row r="5" spans="3:19" ht="12.75">
      <c r="C5" s="267" t="s">
        <v>2</v>
      </c>
      <c r="D5" s="268"/>
      <c r="E5" s="416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8"/>
    </row>
    <row r="6" spans="3:21" ht="12.75">
      <c r="C6" s="269" t="s">
        <v>3</v>
      </c>
      <c r="D6" s="270"/>
      <c r="E6" s="426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8"/>
      <c r="U6" s="66"/>
    </row>
    <row r="7" spans="3:19" ht="12.75">
      <c r="C7" s="480" t="s">
        <v>4</v>
      </c>
      <c r="D7" s="481"/>
      <c r="E7" s="422" t="s">
        <v>88</v>
      </c>
      <c r="F7" s="423"/>
      <c r="G7" s="423"/>
      <c r="H7" s="429"/>
      <c r="I7" s="429"/>
      <c r="J7" s="430" t="s">
        <v>89</v>
      </c>
      <c r="K7" s="430"/>
      <c r="L7" s="430"/>
      <c r="M7" s="430"/>
      <c r="N7" s="95"/>
      <c r="O7" s="423" t="s">
        <v>90</v>
      </c>
      <c r="P7" s="423"/>
      <c r="Q7" s="423"/>
      <c r="R7" s="424"/>
      <c r="S7" s="425"/>
    </row>
    <row r="8" spans="3:23" ht="12.75">
      <c r="C8" s="401"/>
      <c r="D8" s="482"/>
      <c r="E8" s="475" t="s">
        <v>91</v>
      </c>
      <c r="F8" s="476"/>
      <c r="G8" s="476"/>
      <c r="H8" s="477"/>
      <c r="I8" s="477"/>
      <c r="J8" s="419"/>
      <c r="K8" s="420"/>
      <c r="L8" s="420"/>
      <c r="M8" s="420"/>
      <c r="N8" s="420"/>
      <c r="O8" s="420"/>
      <c r="P8" s="420"/>
      <c r="Q8" s="420"/>
      <c r="R8" s="420"/>
      <c r="S8" s="421"/>
      <c r="V8" s="94"/>
      <c r="W8" s="96"/>
    </row>
    <row r="9" spans="3:23" ht="12.75">
      <c r="C9" s="503" t="s">
        <v>93</v>
      </c>
      <c r="D9" s="504"/>
      <c r="E9" s="504"/>
      <c r="F9" s="504"/>
      <c r="G9" s="504"/>
      <c r="H9" s="504"/>
      <c r="I9" s="504"/>
      <c r="J9" s="504"/>
      <c r="K9" s="504"/>
      <c r="L9" s="504"/>
      <c r="M9" s="504"/>
      <c r="N9" s="504"/>
      <c r="O9" s="504"/>
      <c r="P9" s="504"/>
      <c r="Q9" s="504"/>
      <c r="R9" s="504"/>
      <c r="S9" s="505"/>
      <c r="V9" s="94"/>
      <c r="W9" s="96"/>
    </row>
    <row r="10" spans="3:19" ht="14.25">
      <c r="C10" s="486" t="s">
        <v>94</v>
      </c>
      <c r="D10" s="487"/>
      <c r="E10" s="431" t="s">
        <v>98</v>
      </c>
      <c r="F10" s="432"/>
      <c r="G10" s="444" t="s">
        <v>99</v>
      </c>
      <c r="H10" s="496"/>
      <c r="I10" s="444" t="s">
        <v>100</v>
      </c>
      <c r="J10" s="445"/>
      <c r="K10" s="444" t="s">
        <v>95</v>
      </c>
      <c r="L10" s="495"/>
      <c r="M10" s="496"/>
      <c r="N10" s="483" t="s">
        <v>97</v>
      </c>
      <c r="O10" s="484"/>
      <c r="P10" s="484"/>
      <c r="Q10" s="484"/>
      <c r="R10" s="484"/>
      <c r="S10" s="485"/>
    </row>
    <row r="11" spans="3:19" ht="12.75">
      <c r="C11" s="488"/>
      <c r="D11" s="489"/>
      <c r="E11" s="446"/>
      <c r="F11" s="447"/>
      <c r="G11" s="387"/>
      <c r="H11" s="388"/>
      <c r="I11" s="383"/>
      <c r="J11" s="384"/>
      <c r="K11" s="497">
        <f>G11*I11</f>
        <v>0</v>
      </c>
      <c r="L11" s="498"/>
      <c r="M11" s="499"/>
      <c r="N11" s="461">
        <f>SUM(K11:M17)</f>
        <v>0</v>
      </c>
      <c r="O11" s="462"/>
      <c r="P11" s="462"/>
      <c r="Q11" s="462"/>
      <c r="R11" s="462"/>
      <c r="S11" s="463"/>
    </row>
    <row r="12" spans="3:19" ht="12.75">
      <c r="C12" s="488"/>
      <c r="D12" s="489"/>
      <c r="E12" s="439"/>
      <c r="F12" s="440"/>
      <c r="G12" s="433"/>
      <c r="H12" s="434"/>
      <c r="I12" s="396"/>
      <c r="J12" s="397"/>
      <c r="K12" s="441">
        <f>G12*I12</f>
        <v>0</v>
      </c>
      <c r="L12" s="442"/>
      <c r="M12" s="443"/>
      <c r="N12" s="464"/>
      <c r="O12" s="465"/>
      <c r="P12" s="465"/>
      <c r="Q12" s="465"/>
      <c r="R12" s="465"/>
      <c r="S12" s="466"/>
    </row>
    <row r="13" spans="3:19" ht="12.75">
      <c r="C13" s="488"/>
      <c r="D13" s="489"/>
      <c r="E13" s="439"/>
      <c r="F13" s="440"/>
      <c r="G13" s="433"/>
      <c r="H13" s="434"/>
      <c r="I13" s="396"/>
      <c r="J13" s="397"/>
      <c r="K13" s="441">
        <f>G13*I13</f>
        <v>0</v>
      </c>
      <c r="L13" s="442"/>
      <c r="M13" s="443"/>
      <c r="N13" s="464"/>
      <c r="O13" s="465"/>
      <c r="P13" s="465"/>
      <c r="Q13" s="465"/>
      <c r="R13" s="465"/>
      <c r="S13" s="466"/>
    </row>
    <row r="14" spans="3:19" ht="12.75">
      <c r="C14" s="488"/>
      <c r="D14" s="489"/>
      <c r="E14" s="439"/>
      <c r="F14" s="440"/>
      <c r="G14" s="433"/>
      <c r="H14" s="434"/>
      <c r="I14" s="396"/>
      <c r="J14" s="397"/>
      <c r="K14" s="441">
        <f>G14*I14</f>
        <v>0</v>
      </c>
      <c r="L14" s="442"/>
      <c r="M14" s="443"/>
      <c r="N14" s="464"/>
      <c r="O14" s="465"/>
      <c r="P14" s="465"/>
      <c r="Q14" s="465"/>
      <c r="R14" s="465"/>
      <c r="S14" s="466"/>
    </row>
    <row r="15" spans="3:19" ht="12.75">
      <c r="C15" s="488"/>
      <c r="D15" s="489"/>
      <c r="E15" s="525"/>
      <c r="F15" s="526"/>
      <c r="G15" s="529"/>
      <c r="H15" s="530"/>
      <c r="I15" s="527"/>
      <c r="J15" s="528"/>
      <c r="K15" s="520">
        <f>G15*I15</f>
        <v>0</v>
      </c>
      <c r="L15" s="521"/>
      <c r="M15" s="522"/>
      <c r="N15" s="464"/>
      <c r="O15" s="465"/>
      <c r="P15" s="465"/>
      <c r="Q15" s="465"/>
      <c r="R15" s="465"/>
      <c r="S15" s="466"/>
    </row>
    <row r="16" spans="3:19" ht="12.75">
      <c r="C16" s="488"/>
      <c r="D16" s="489"/>
      <c r="E16" s="398" t="s">
        <v>96</v>
      </c>
      <c r="F16" s="399"/>
      <c r="G16" s="399"/>
      <c r="H16" s="399"/>
      <c r="I16" s="399"/>
      <c r="J16" s="400"/>
      <c r="K16" s="514">
        <v>0</v>
      </c>
      <c r="L16" s="515"/>
      <c r="M16" s="516"/>
      <c r="N16" s="464"/>
      <c r="O16" s="465"/>
      <c r="P16" s="465"/>
      <c r="Q16" s="465"/>
      <c r="R16" s="465"/>
      <c r="S16" s="466"/>
    </row>
    <row r="17" spans="3:19" ht="12.75">
      <c r="C17" s="490"/>
      <c r="D17" s="491"/>
      <c r="E17" s="401"/>
      <c r="F17" s="402"/>
      <c r="G17" s="402"/>
      <c r="H17" s="402"/>
      <c r="I17" s="402"/>
      <c r="J17" s="403"/>
      <c r="K17" s="517"/>
      <c r="L17" s="518"/>
      <c r="M17" s="519"/>
      <c r="N17" s="467"/>
      <c r="O17" s="468"/>
      <c r="P17" s="468"/>
      <c r="Q17" s="468"/>
      <c r="R17" s="468"/>
      <c r="S17" s="469"/>
    </row>
    <row r="18" spans="3:19" ht="12.75">
      <c r="C18" s="500"/>
      <c r="D18" s="501"/>
      <c r="E18" s="501"/>
      <c r="F18" s="501"/>
      <c r="G18" s="501"/>
      <c r="H18" s="501"/>
      <c r="I18" s="501"/>
      <c r="J18" s="501"/>
      <c r="K18" s="501"/>
      <c r="L18" s="501"/>
      <c r="M18" s="501"/>
      <c r="N18" s="501"/>
      <c r="O18" s="501"/>
      <c r="P18" s="501"/>
      <c r="Q18" s="501"/>
      <c r="R18" s="501"/>
      <c r="S18" s="502"/>
    </row>
    <row r="19" spans="3:19" ht="12.75">
      <c r="C19" s="406" t="s">
        <v>106</v>
      </c>
      <c r="D19" s="508" t="s">
        <v>5</v>
      </c>
      <c r="E19" s="215" t="s">
        <v>103</v>
      </c>
      <c r="F19" s="216"/>
      <c r="G19" s="216"/>
      <c r="H19" s="217"/>
      <c r="I19" s="218"/>
      <c r="J19" s="216"/>
      <c r="K19" s="216"/>
      <c r="L19" s="216"/>
      <c r="M19" s="283"/>
      <c r="N19" s="342">
        <f>'Tablas honorarios'!C8</f>
        <v>1338</v>
      </c>
      <c r="O19" s="342"/>
      <c r="P19" s="343"/>
      <c r="Q19" s="357">
        <f>N19*M19+N20*M20</f>
        <v>0</v>
      </c>
      <c r="R19" s="358"/>
      <c r="S19" s="391"/>
    </row>
    <row r="20" spans="3:29" ht="12.75" customHeight="1">
      <c r="C20" s="506"/>
      <c r="D20" s="509"/>
      <c r="E20" s="219" t="s">
        <v>102</v>
      </c>
      <c r="F20" s="220"/>
      <c r="G20" s="220"/>
      <c r="H20" s="220"/>
      <c r="I20" s="220"/>
      <c r="J20" s="220"/>
      <c r="K20" s="220"/>
      <c r="L20" s="220"/>
      <c r="M20" s="284"/>
      <c r="N20" s="350">
        <f>'Tablas honorarios'!C9</f>
        <v>2676</v>
      </c>
      <c r="O20" s="350"/>
      <c r="P20" s="351"/>
      <c r="Q20" s="362"/>
      <c r="R20" s="363"/>
      <c r="S20" s="364"/>
      <c r="T20" s="314"/>
      <c r="U20" s="315"/>
      <c r="V20" s="315"/>
      <c r="W20" s="315"/>
      <c r="X20" s="315"/>
      <c r="Y20" s="315"/>
      <c r="Z20" s="315"/>
      <c r="AA20" s="315"/>
      <c r="AB20" s="315"/>
      <c r="AC20" s="315"/>
    </row>
    <row r="21" spans="2:29" ht="13.5" customHeight="1" hidden="1" thickBot="1">
      <c r="B21" s="65"/>
      <c r="C21" s="506"/>
      <c r="D21" s="406" t="s">
        <v>199</v>
      </c>
      <c r="E21" s="316" t="s">
        <v>212</v>
      </c>
      <c r="F21" s="222"/>
      <c r="G21" s="222"/>
      <c r="H21" s="222"/>
      <c r="I21" s="222"/>
      <c r="J21" s="222"/>
      <c r="K21" s="222"/>
      <c r="L21" s="222"/>
      <c r="M21" s="285"/>
      <c r="N21" s="385">
        <f>IF(N34*0.05&lt;'Tablas honorarios'!C13,'Tablas honorarios'!C13,IF(N34*0.05&gt;'Tablas honorarios'!K13,'Tablas honorarios'!K13,N34*0.05))</f>
        <v>20338</v>
      </c>
      <c r="O21" s="385"/>
      <c r="P21" s="386"/>
      <c r="Q21" s="458">
        <f>N21*M21/100</f>
        <v>0</v>
      </c>
      <c r="R21" s="459"/>
      <c r="S21" s="460"/>
      <c r="T21" s="314"/>
      <c r="U21" s="315"/>
      <c r="V21" s="315"/>
      <c r="W21" s="315"/>
      <c r="X21" s="315"/>
      <c r="Y21" s="315"/>
      <c r="Z21" s="315"/>
      <c r="AA21" s="315"/>
      <c r="AB21" s="315"/>
      <c r="AC21" s="315"/>
    </row>
    <row r="22" spans="3:29" ht="12.75" customHeight="1">
      <c r="C22" s="506"/>
      <c r="D22" s="348"/>
      <c r="E22" s="215" t="s">
        <v>101</v>
      </c>
      <c r="F22" s="216"/>
      <c r="G22" s="216"/>
      <c r="H22" s="216"/>
      <c r="I22" s="216"/>
      <c r="J22" s="216"/>
      <c r="K22" s="216"/>
      <c r="L22" s="216"/>
      <c r="M22" s="404"/>
      <c r="N22" s="342">
        <f>'Tablas honorarios'!C10</f>
        <v>2230</v>
      </c>
      <c r="O22" s="342"/>
      <c r="P22" s="343"/>
      <c r="Q22" s="357">
        <f>($N$22*$M$22+$N$23*$M$22+$N$24*$M$24)/100+N25</f>
        <v>0</v>
      </c>
      <c r="R22" s="358"/>
      <c r="S22" s="391"/>
      <c r="T22" s="537" t="s">
        <v>201</v>
      </c>
      <c r="U22" s="538"/>
      <c r="V22" s="538"/>
      <c r="W22" s="538"/>
      <c r="X22" s="538"/>
      <c r="Y22" s="538"/>
      <c r="Z22" s="538"/>
      <c r="AA22" s="538"/>
      <c r="AB22" s="538"/>
      <c r="AC22" s="538"/>
    </row>
    <row r="23" spans="3:29" ht="12.75">
      <c r="C23" s="506"/>
      <c r="D23" s="348"/>
      <c r="E23" s="223" t="s">
        <v>104</v>
      </c>
      <c r="F23" s="224"/>
      <c r="G23" s="225"/>
      <c r="H23" s="225"/>
      <c r="I23" s="225"/>
      <c r="J23" s="225"/>
      <c r="K23" s="225"/>
      <c r="L23" s="224"/>
      <c r="M23" s="405"/>
      <c r="N23" s="337">
        <f>'Tablas honorarios'!C11</f>
        <v>12265</v>
      </c>
      <c r="O23" s="337"/>
      <c r="P23" s="338"/>
      <c r="Q23" s="359"/>
      <c r="R23" s="360"/>
      <c r="S23" s="361"/>
      <c r="T23" s="537"/>
      <c r="U23" s="538"/>
      <c r="V23" s="538"/>
      <c r="W23" s="538"/>
      <c r="X23" s="538"/>
      <c r="Y23" s="538"/>
      <c r="Z23" s="538"/>
      <c r="AA23" s="538"/>
      <c r="AB23" s="538"/>
      <c r="AC23" s="538"/>
    </row>
    <row r="24" spans="3:29" ht="12.75">
      <c r="C24" s="506"/>
      <c r="D24" s="348"/>
      <c r="E24" s="226" t="s">
        <v>105</v>
      </c>
      <c r="F24" s="227"/>
      <c r="G24" s="224"/>
      <c r="H24" s="224"/>
      <c r="I24" s="224"/>
      <c r="J24" s="225"/>
      <c r="K24" s="225"/>
      <c r="L24" s="224"/>
      <c r="M24" s="286"/>
      <c r="N24" s="337">
        <f>'Tablas honorarios'!$D$26</f>
        <v>0</v>
      </c>
      <c r="O24" s="337"/>
      <c r="P24" s="338"/>
      <c r="Q24" s="359"/>
      <c r="R24" s="360"/>
      <c r="S24" s="361"/>
      <c r="T24" s="537"/>
      <c r="U24" s="538"/>
      <c r="V24" s="538"/>
      <c r="W24" s="538"/>
      <c r="X24" s="538"/>
      <c r="Y24" s="538"/>
      <c r="Z24" s="538"/>
      <c r="AA24" s="538"/>
      <c r="AB24" s="538"/>
      <c r="AC24" s="538"/>
    </row>
    <row r="25" spans="3:33" ht="12.75">
      <c r="C25" s="507"/>
      <c r="D25" s="349"/>
      <c r="E25" s="437" t="s">
        <v>64</v>
      </c>
      <c r="F25" s="438"/>
      <c r="G25" s="438"/>
      <c r="H25" s="438"/>
      <c r="I25" s="438"/>
      <c r="J25" s="438"/>
      <c r="K25" s="456">
        <f>'Tablas honorarios'!C12</f>
        <v>4460</v>
      </c>
      <c r="L25" s="457"/>
      <c r="M25" s="284"/>
      <c r="N25" s="350">
        <f>+K25*M25</f>
        <v>0</v>
      </c>
      <c r="O25" s="350"/>
      <c r="P25" s="351"/>
      <c r="Q25" s="362"/>
      <c r="R25" s="363"/>
      <c r="S25" s="364"/>
      <c r="T25" s="537"/>
      <c r="U25" s="538"/>
      <c r="V25" s="538"/>
      <c r="W25" s="538"/>
      <c r="X25" s="538"/>
      <c r="Y25" s="538"/>
      <c r="Z25" s="538"/>
      <c r="AA25" s="538"/>
      <c r="AB25" s="538"/>
      <c r="AC25" s="538"/>
      <c r="AD25" s="64"/>
      <c r="AE25" s="62"/>
      <c r="AF25" s="59"/>
      <c r="AG25" s="59"/>
    </row>
    <row r="26" spans="3:33" ht="12.75">
      <c r="C26" s="450"/>
      <c r="D26" s="451"/>
      <c r="E26" s="451"/>
      <c r="F26" s="451"/>
      <c r="G26" s="451"/>
      <c r="H26" s="451"/>
      <c r="I26" s="451"/>
      <c r="J26" s="451"/>
      <c r="K26" s="451"/>
      <c r="L26" s="451"/>
      <c r="M26" s="451"/>
      <c r="N26" s="451"/>
      <c r="O26" s="451"/>
      <c r="P26" s="451"/>
      <c r="Q26" s="451"/>
      <c r="R26" s="451"/>
      <c r="S26" s="452"/>
      <c r="T26" s="537"/>
      <c r="U26" s="538"/>
      <c r="V26" s="538"/>
      <c r="W26" s="538"/>
      <c r="X26" s="538"/>
      <c r="Y26" s="538"/>
      <c r="Z26" s="538"/>
      <c r="AA26" s="538"/>
      <c r="AB26" s="538"/>
      <c r="AC26" s="538"/>
      <c r="AF26" s="59"/>
      <c r="AG26" s="59"/>
    </row>
    <row r="27" spans="3:33" ht="15" customHeight="1">
      <c r="C27" s="406" t="s">
        <v>116</v>
      </c>
      <c r="D27" s="347" t="s">
        <v>8</v>
      </c>
      <c r="E27" s="228" t="s">
        <v>6</v>
      </c>
      <c r="F27" s="216"/>
      <c r="G27" s="216"/>
      <c r="H27" s="216"/>
      <c r="I27" s="216"/>
      <c r="J27" s="216"/>
      <c r="K27" s="216"/>
      <c r="L27" s="216"/>
      <c r="M27" s="280"/>
      <c r="N27" s="342">
        <f>'Tablas honorarios'!$D$40</f>
        <v>0</v>
      </c>
      <c r="O27" s="342"/>
      <c r="P27" s="343"/>
      <c r="Q27" s="357">
        <f>($N$27*$M$27+$N$28*$M$28+$N$29*$M$29+$N$30*$M$30+$N$31*$M$31+$N$32*$M$32)/100</f>
        <v>0</v>
      </c>
      <c r="R27" s="358"/>
      <c r="S27" s="391"/>
      <c r="U27" s="61"/>
      <c r="V27" s="61"/>
      <c r="W27" s="61"/>
      <c r="X27" s="61"/>
      <c r="Y27" s="77"/>
      <c r="Z27" s="61"/>
      <c r="AA27" s="200"/>
      <c r="AB27" s="77"/>
      <c r="AC27" s="61"/>
      <c r="AD27" s="64"/>
      <c r="AE27" s="62"/>
      <c r="AF27" s="59"/>
      <c r="AG27" s="59"/>
    </row>
    <row r="28" spans="3:27" ht="15" customHeight="1">
      <c r="C28" s="348"/>
      <c r="D28" s="348"/>
      <c r="E28" s="226" t="s">
        <v>7</v>
      </c>
      <c r="F28" s="224"/>
      <c r="G28" s="224"/>
      <c r="H28" s="224"/>
      <c r="I28" s="224"/>
      <c r="J28" s="224"/>
      <c r="K28" s="224"/>
      <c r="L28" s="224"/>
      <c r="M28" s="281"/>
      <c r="N28" s="337">
        <f>'Tablas honorarios'!$F$40</f>
        <v>0</v>
      </c>
      <c r="O28" s="337"/>
      <c r="P28" s="338"/>
      <c r="Q28" s="359"/>
      <c r="R28" s="360"/>
      <c r="S28" s="361"/>
      <c r="U28" s="61"/>
      <c r="V28" s="61"/>
      <c r="W28" s="61"/>
      <c r="X28" s="61"/>
      <c r="Y28" s="61"/>
      <c r="Z28" s="61"/>
      <c r="AA28" s="80"/>
    </row>
    <row r="29" spans="3:27" ht="15" customHeight="1">
      <c r="C29" s="348"/>
      <c r="D29" s="348"/>
      <c r="E29" s="226" t="s">
        <v>9</v>
      </c>
      <c r="F29" s="224"/>
      <c r="G29" s="224"/>
      <c r="H29" s="224"/>
      <c r="I29" s="224"/>
      <c r="J29" s="224"/>
      <c r="K29" s="224"/>
      <c r="L29" s="224"/>
      <c r="M29" s="281"/>
      <c r="N29" s="337">
        <f>'Tablas honorarios'!$H$40</f>
        <v>0</v>
      </c>
      <c r="O29" s="337"/>
      <c r="P29" s="338"/>
      <c r="Q29" s="359"/>
      <c r="R29" s="360"/>
      <c r="S29" s="361"/>
      <c r="T29" s="79"/>
      <c r="U29" s="79"/>
      <c r="V29" s="79"/>
      <c r="W29" s="79"/>
      <c r="X29" s="79"/>
      <c r="Y29" s="79"/>
      <c r="Z29" s="79"/>
      <c r="AA29" s="78"/>
    </row>
    <row r="30" spans="3:19" ht="12.75">
      <c r="C30" s="348"/>
      <c r="D30" s="348"/>
      <c r="E30" s="226" t="s">
        <v>10</v>
      </c>
      <c r="F30" s="224"/>
      <c r="G30" s="224"/>
      <c r="H30" s="224"/>
      <c r="I30" s="224"/>
      <c r="J30" s="224"/>
      <c r="K30" s="224"/>
      <c r="L30" s="224"/>
      <c r="M30" s="281"/>
      <c r="N30" s="337">
        <f>'Tablas honorarios'!$J$40</f>
        <v>0</v>
      </c>
      <c r="O30" s="337"/>
      <c r="P30" s="338"/>
      <c r="Q30" s="359"/>
      <c r="R30" s="360"/>
      <c r="S30" s="361"/>
    </row>
    <row r="31" spans="3:19" ht="12.75">
      <c r="C31" s="348"/>
      <c r="D31" s="348"/>
      <c r="E31" s="226" t="s">
        <v>11</v>
      </c>
      <c r="F31" s="224"/>
      <c r="G31" s="224"/>
      <c r="H31" s="224"/>
      <c r="I31" s="224"/>
      <c r="J31" s="224"/>
      <c r="K31" s="224"/>
      <c r="L31" s="224"/>
      <c r="M31" s="281"/>
      <c r="N31" s="337">
        <f>'Tablas honorarios'!$L$40</f>
        <v>0</v>
      </c>
      <c r="O31" s="337"/>
      <c r="P31" s="338"/>
      <c r="Q31" s="359"/>
      <c r="R31" s="360"/>
      <c r="S31" s="361"/>
    </row>
    <row r="32" spans="3:19" ht="12.75">
      <c r="C32" s="349"/>
      <c r="D32" s="349"/>
      <c r="E32" s="229" t="s">
        <v>12</v>
      </c>
      <c r="F32" s="230"/>
      <c r="G32" s="230"/>
      <c r="H32" s="230"/>
      <c r="I32" s="230"/>
      <c r="J32" s="230"/>
      <c r="K32" s="230"/>
      <c r="L32" s="230"/>
      <c r="M32" s="282"/>
      <c r="N32" s="535">
        <f>'Tablas honorarios'!$N$40</f>
        <v>0</v>
      </c>
      <c r="O32" s="535"/>
      <c r="P32" s="536"/>
      <c r="Q32" s="359"/>
      <c r="R32" s="360"/>
      <c r="S32" s="361"/>
    </row>
    <row r="33" spans="3:19" ht="12.75" hidden="1">
      <c r="C33" s="344"/>
      <c r="D33" s="345"/>
      <c r="E33" s="345"/>
      <c r="F33" s="345"/>
      <c r="G33" s="345"/>
      <c r="H33" s="345"/>
      <c r="I33" s="345"/>
      <c r="J33" s="345"/>
      <c r="K33" s="345"/>
      <c r="L33" s="345"/>
      <c r="M33" s="345"/>
      <c r="N33" s="345"/>
      <c r="O33" s="345"/>
      <c r="P33" s="345"/>
      <c r="Q33" s="345"/>
      <c r="R33" s="345"/>
      <c r="S33" s="346"/>
    </row>
    <row r="34" spans="3:19" ht="12.75" hidden="1">
      <c r="C34" s="352" t="s">
        <v>117</v>
      </c>
      <c r="D34" s="221" t="s">
        <v>13</v>
      </c>
      <c r="E34" s="231" t="s">
        <v>14</v>
      </c>
      <c r="F34" s="216"/>
      <c r="G34" s="216"/>
      <c r="H34" s="216"/>
      <c r="I34" s="216"/>
      <c r="J34" s="216"/>
      <c r="K34" s="216"/>
      <c r="L34" s="216"/>
      <c r="M34" s="283"/>
      <c r="N34" s="342">
        <f>'Tablas honorarios'!$D$54</f>
        <v>0</v>
      </c>
      <c r="O34" s="342"/>
      <c r="P34" s="343"/>
      <c r="Q34" s="357">
        <f>($N$34*$M$34+$N$35*$M$35)/100</f>
        <v>0</v>
      </c>
      <c r="R34" s="358"/>
      <c r="S34" s="391"/>
    </row>
    <row r="35" spans="3:19" ht="12.75" hidden="1">
      <c r="C35" s="353"/>
      <c r="D35" s="232" t="s">
        <v>15</v>
      </c>
      <c r="E35" s="233" t="s">
        <v>16</v>
      </c>
      <c r="F35" s="220"/>
      <c r="G35" s="220"/>
      <c r="H35" s="220"/>
      <c r="I35" s="220"/>
      <c r="J35" s="220"/>
      <c r="K35" s="220"/>
      <c r="L35" s="220"/>
      <c r="M35" s="284"/>
      <c r="N35" s="350">
        <f>'Tablas honorarios'!$F$54</f>
        <v>0</v>
      </c>
      <c r="O35" s="350"/>
      <c r="P35" s="351"/>
      <c r="Q35" s="362"/>
      <c r="R35" s="363"/>
      <c r="S35" s="364"/>
    </row>
    <row r="36" spans="3:19" ht="13.5" thickBot="1">
      <c r="C36" s="344"/>
      <c r="D36" s="345"/>
      <c r="E36" s="523"/>
      <c r="F36" s="523"/>
      <c r="G36" s="523"/>
      <c r="H36" s="523"/>
      <c r="I36" s="523"/>
      <c r="J36" s="523"/>
      <c r="K36" s="523"/>
      <c r="L36" s="523"/>
      <c r="M36" s="523"/>
      <c r="N36" s="523"/>
      <c r="O36" s="523"/>
      <c r="P36" s="523"/>
      <c r="Q36" s="523"/>
      <c r="R36" s="523"/>
      <c r="S36" s="524"/>
    </row>
    <row r="37" spans="3:19" ht="14.25" thickBot="1" thickTop="1">
      <c r="C37" s="406" t="s">
        <v>118</v>
      </c>
      <c r="D37" s="354" t="s">
        <v>18</v>
      </c>
      <c r="E37" s="435" t="s">
        <v>185</v>
      </c>
      <c r="F37" s="436"/>
      <c r="G37" s="436"/>
      <c r="H37" s="436"/>
      <c r="I37" s="436"/>
      <c r="J37" s="436"/>
      <c r="K37" s="436"/>
      <c r="L37" s="436"/>
      <c r="M37" s="436"/>
      <c r="N37" s="492">
        <v>8</v>
      </c>
      <c r="O37" s="493"/>
      <c r="P37" s="494"/>
      <c r="Q37" s="234"/>
      <c r="R37" s="260" t="s">
        <v>63</v>
      </c>
      <c r="S37" s="235"/>
    </row>
    <row r="38" spans="3:19" ht="13.5" thickTop="1">
      <c r="C38" s="348"/>
      <c r="D38" s="355"/>
      <c r="E38" s="271" t="str">
        <f>IF($Q$37="si","a) Estudios previos y anteproyec","a) Planos generales del proyecto")</f>
        <v>a) Planos generales del proyecto</v>
      </c>
      <c r="F38" s="236"/>
      <c r="G38" s="236"/>
      <c r="H38" s="236"/>
      <c r="I38" s="236"/>
      <c r="J38" s="237"/>
      <c r="K38" s="238">
        <f>IF($Q$37="si",20,IF($R$37="si",35,IF($S$37="si",45,IF(#REF!="si",45,"??"))))</f>
        <v>35</v>
      </c>
      <c r="L38" s="239" t="s">
        <v>17</v>
      </c>
      <c r="M38" s="408"/>
      <c r="N38" s="453">
        <f>'Tablas honorarios'!$D$69*DATOS!K38/100</f>
        <v>0</v>
      </c>
      <c r="O38" s="454"/>
      <c r="P38" s="455"/>
      <c r="Q38" s="359">
        <f>($N$38*$M$38+$N$41*$M$38+$N$42*$M$38)/100</f>
        <v>0</v>
      </c>
      <c r="R38" s="360"/>
      <c r="S38" s="361"/>
    </row>
    <row r="39" spans="3:19" ht="12.75" customHeight="1" hidden="1">
      <c r="C39" s="348"/>
      <c r="D39" s="355"/>
      <c r="E39" s="272" t="str">
        <f>IF($Q$37="si","b) Planos generales y p/rep. ofic","b) Planos de construcción")</f>
        <v>b) Planos de construcción</v>
      </c>
      <c r="F39" s="224"/>
      <c r="G39" s="224"/>
      <c r="H39" s="224"/>
      <c r="I39" s="224"/>
      <c r="J39" s="240"/>
      <c r="K39" s="241">
        <f>IF($Q$37="si",15,IF($R$37="si",0,IF($S$37="si",0,IF(#REF!="si",0,"??"))))</f>
        <v>0</v>
      </c>
      <c r="L39" s="242" t="s">
        <v>17</v>
      </c>
      <c r="M39" s="408"/>
      <c r="N39" s="336">
        <f>'Tablas honorarios'!$D$69*DATOS!K39/100</f>
        <v>0</v>
      </c>
      <c r="O39" s="337"/>
      <c r="P39" s="338"/>
      <c r="Q39" s="359"/>
      <c r="R39" s="360"/>
      <c r="S39" s="361"/>
    </row>
    <row r="40" spans="3:19" ht="12.75" customHeight="1" hidden="1">
      <c r="C40" s="348"/>
      <c r="D40" s="355"/>
      <c r="E40" s="272" t="str">
        <f>IF($Q$37="si","c) Planos complementarios","c) Planos  complementarios")</f>
        <v>c) Planos  complementarios</v>
      </c>
      <c r="F40" s="224"/>
      <c r="G40" s="224"/>
      <c r="H40" s="224"/>
      <c r="I40" s="224"/>
      <c r="J40" s="240"/>
      <c r="K40" s="241">
        <f>IF($Q$37="si",15,IF($R$37="si",0,IF($S$37="si",5,IF(#REF!="si",0,"??"))))</f>
        <v>0</v>
      </c>
      <c r="L40" s="242" t="s">
        <v>17</v>
      </c>
      <c r="M40" s="408"/>
      <c r="N40" s="336">
        <f>'Tablas honorarios'!$D$69*DATOS!K40/100</f>
        <v>0</v>
      </c>
      <c r="O40" s="337"/>
      <c r="P40" s="338"/>
      <c r="Q40" s="359"/>
      <c r="R40" s="360"/>
      <c r="S40" s="361"/>
    </row>
    <row r="41" spans="3:19" ht="12.75">
      <c r="C41" s="348"/>
      <c r="D41" s="355"/>
      <c r="E41" s="272" t="str">
        <f>IF($Q$37="si","d) Pliego de cond. y presup. detall","d) Pliego de cond. y est. de prop.")</f>
        <v>d) Pliego de cond. y est. de prop.</v>
      </c>
      <c r="F41" s="224"/>
      <c r="G41" s="224"/>
      <c r="H41" s="224"/>
      <c r="I41" s="224"/>
      <c r="J41" s="240"/>
      <c r="K41" s="241">
        <f>IF($Q$37="si",10,IF($R$37="si",15,IF($S$37="si",6,IF(#REF!="si",15,"??"))))</f>
        <v>15</v>
      </c>
      <c r="L41" s="242" t="s">
        <v>17</v>
      </c>
      <c r="M41" s="408"/>
      <c r="N41" s="336">
        <f>'Tablas honorarios'!$D$69*DATOS!K41/100</f>
        <v>0</v>
      </c>
      <c r="O41" s="337"/>
      <c r="P41" s="338"/>
      <c r="Q41" s="359"/>
      <c r="R41" s="360"/>
      <c r="S41" s="361"/>
    </row>
    <row r="42" spans="3:19" ht="12.75">
      <c r="C42" s="348"/>
      <c r="D42" s="356"/>
      <c r="E42" s="273" t="str">
        <f>IF($Q$37="si","","e) Pesupuesto y comp. métrico")</f>
        <v>e) Pesupuesto y comp. métrico</v>
      </c>
      <c r="F42" s="220"/>
      <c r="G42" s="220"/>
      <c r="H42" s="220"/>
      <c r="I42" s="220"/>
      <c r="J42" s="243"/>
      <c r="K42" s="244">
        <f>IF($Q$37="si",0,IF($R$37="si",10,IF($S$37="si",4,IF(#REF!="si",10,"??"))))</f>
        <v>10</v>
      </c>
      <c r="L42" s="245" t="s">
        <v>17</v>
      </c>
      <c r="M42" s="409"/>
      <c r="N42" s="407">
        <f>'Tablas honorarios'!$D$69*DATOS!K42/100</f>
        <v>0</v>
      </c>
      <c r="O42" s="350"/>
      <c r="P42" s="351"/>
      <c r="Q42" s="362"/>
      <c r="R42" s="363"/>
      <c r="S42" s="364"/>
    </row>
    <row r="43" spans="3:19" ht="12.75">
      <c r="C43" s="348"/>
      <c r="D43" s="510" t="s">
        <v>19</v>
      </c>
      <c r="E43" s="231" t="str">
        <f>IF($Q$37="si","e) lanos de detalle de obra","f) Planos de detalle")</f>
        <v>f) Planos de detalle</v>
      </c>
      <c r="F43" s="216"/>
      <c r="G43" s="216"/>
      <c r="H43" s="216"/>
      <c r="I43" s="216"/>
      <c r="J43" s="246"/>
      <c r="K43" s="247">
        <f>IF($Q$37="si",10,IF($R$37="si",20,IF($S$37="si",5,IF(#REF!="si",0,"??"))))</f>
        <v>20</v>
      </c>
      <c r="L43" s="248" t="s">
        <v>17</v>
      </c>
      <c r="M43" s="404"/>
      <c r="N43" s="392">
        <f>'Tablas honorarios'!$D$69*DATOS!K43/100</f>
        <v>0</v>
      </c>
      <c r="O43" s="342"/>
      <c r="P43" s="343"/>
      <c r="Q43" s="357">
        <f>($N$43*$M$43+$N$44*$M$43)/100</f>
        <v>0</v>
      </c>
      <c r="R43" s="358"/>
      <c r="S43" s="391"/>
    </row>
    <row r="44" spans="3:19" ht="12.75">
      <c r="C44" s="348"/>
      <c r="D44" s="356"/>
      <c r="E44" s="233" t="str">
        <f>IF($Q$37="si","g) Dirección de obra y liquidación","g) Dirección y liquidación")</f>
        <v>g) Dirección y liquidación</v>
      </c>
      <c r="F44" s="220"/>
      <c r="G44" s="220"/>
      <c r="H44" s="220"/>
      <c r="I44" s="220"/>
      <c r="J44" s="243"/>
      <c r="K44" s="244">
        <f>IF($Q$37="si",30,IF($R$37="si",20,IF($S$37="si",35,IF(#REF!="si",30,"??"))))</f>
        <v>20</v>
      </c>
      <c r="L44" s="245" t="s">
        <v>17</v>
      </c>
      <c r="M44" s="409"/>
      <c r="N44" s="407">
        <f>'Tablas honorarios'!$D$69*DATOS!K44/100</f>
        <v>0</v>
      </c>
      <c r="O44" s="350"/>
      <c r="P44" s="351"/>
      <c r="Q44" s="362"/>
      <c r="R44" s="363"/>
      <c r="S44" s="364"/>
    </row>
    <row r="45" spans="3:19" ht="12.75">
      <c r="C45" s="348"/>
      <c r="D45" s="534" t="s">
        <v>200</v>
      </c>
      <c r="E45" s="215" t="s">
        <v>107</v>
      </c>
      <c r="F45" s="216"/>
      <c r="G45" s="216"/>
      <c r="H45" s="216"/>
      <c r="I45" s="216"/>
      <c r="J45" s="246"/>
      <c r="K45" s="247">
        <v>3</v>
      </c>
      <c r="L45" s="248" t="s">
        <v>17</v>
      </c>
      <c r="M45" s="283"/>
      <c r="N45" s="392">
        <f>'Tablas honorarios'!$D$69*DATOS!K45*0.4/100</f>
        <v>0</v>
      </c>
      <c r="O45" s="342"/>
      <c r="P45" s="343"/>
      <c r="Q45" s="357">
        <f>($N$45*$M$45+$N$46*$M$46+$N$47*$M$47+$N$48*$M$48+$N$49*$M$49)/100</f>
        <v>0</v>
      </c>
      <c r="R45" s="358"/>
      <c r="S45" s="391"/>
    </row>
    <row r="46" spans="3:19" ht="12.75">
      <c r="C46" s="348"/>
      <c r="D46" s="355"/>
      <c r="E46" s="223" t="s">
        <v>108</v>
      </c>
      <c r="F46" s="224"/>
      <c r="G46" s="224"/>
      <c r="H46" s="224"/>
      <c r="I46" s="224"/>
      <c r="J46" s="240"/>
      <c r="K46" s="241">
        <v>10</v>
      </c>
      <c r="L46" s="242" t="s">
        <v>17</v>
      </c>
      <c r="M46" s="286"/>
      <c r="N46" s="336">
        <f>'Tablas honorarios'!$D$69*DATOS!K46*0.4/100</f>
        <v>0</v>
      </c>
      <c r="O46" s="337"/>
      <c r="P46" s="338"/>
      <c r="Q46" s="359"/>
      <c r="R46" s="360"/>
      <c r="S46" s="361"/>
    </row>
    <row r="47" spans="3:19" ht="12.75">
      <c r="C47" s="348"/>
      <c r="D47" s="355"/>
      <c r="E47" s="226" t="s">
        <v>109</v>
      </c>
      <c r="F47" s="249"/>
      <c r="G47" s="224"/>
      <c r="H47" s="225"/>
      <c r="I47" s="225"/>
      <c r="J47" s="250"/>
      <c r="K47" s="241">
        <v>50</v>
      </c>
      <c r="L47" s="242" t="s">
        <v>17</v>
      </c>
      <c r="M47" s="286"/>
      <c r="N47" s="336">
        <f>'Tablas honorarios'!$D$69*DATOS!K47*0.4/100</f>
        <v>0</v>
      </c>
      <c r="O47" s="337"/>
      <c r="P47" s="338"/>
      <c r="Q47" s="359"/>
      <c r="R47" s="360"/>
      <c r="S47" s="361"/>
    </row>
    <row r="48" spans="3:19" ht="13.5" thickBot="1">
      <c r="C48" s="348"/>
      <c r="D48" s="355"/>
      <c r="E48" s="223" t="s">
        <v>110</v>
      </c>
      <c r="F48" s="224"/>
      <c r="G48" s="224"/>
      <c r="H48" s="224"/>
      <c r="I48" s="225"/>
      <c r="J48" s="250"/>
      <c r="K48" s="241">
        <v>100</v>
      </c>
      <c r="L48" s="242" t="s">
        <v>17</v>
      </c>
      <c r="M48" s="286"/>
      <c r="N48" s="336">
        <f>'Tablas honorarios'!$D$69*DATOS!K48*0.4/100</f>
        <v>0</v>
      </c>
      <c r="O48" s="337"/>
      <c r="P48" s="338"/>
      <c r="Q48" s="359"/>
      <c r="R48" s="360"/>
      <c r="S48" s="361"/>
    </row>
    <row r="49" spans="3:29" ht="13.5" thickBot="1">
      <c r="C49" s="348"/>
      <c r="D49" s="356"/>
      <c r="E49" s="274" t="s">
        <v>196</v>
      </c>
      <c r="F49" s="220"/>
      <c r="G49" s="220"/>
      <c r="H49" s="220"/>
      <c r="I49" s="220"/>
      <c r="J49" s="243"/>
      <c r="K49" s="244">
        <v>200</v>
      </c>
      <c r="L49" s="245" t="s">
        <v>17</v>
      </c>
      <c r="M49" s="284"/>
      <c r="N49" s="407">
        <f>'Tablas honorarios'!$D$69*DATOS!K49*0.4/100</f>
        <v>0</v>
      </c>
      <c r="O49" s="350"/>
      <c r="P49" s="351"/>
      <c r="Q49" s="362"/>
      <c r="R49" s="363"/>
      <c r="S49" s="363"/>
      <c r="T49" s="531" t="s">
        <v>208</v>
      </c>
      <c r="U49" s="532"/>
      <c r="V49" s="532"/>
      <c r="W49" s="532"/>
      <c r="X49" s="532"/>
      <c r="Y49" s="532"/>
      <c r="Z49" s="532"/>
      <c r="AA49" s="532"/>
      <c r="AB49" s="532"/>
      <c r="AC49" s="533"/>
    </row>
    <row r="50" spans="3:31" ht="15" customHeight="1" thickBot="1">
      <c r="C50" s="348"/>
      <c r="D50" s="510" t="s">
        <v>20</v>
      </c>
      <c r="E50" s="308" t="s">
        <v>111</v>
      </c>
      <c r="F50" s="298"/>
      <c r="G50" s="298"/>
      <c r="H50" s="298"/>
      <c r="I50" s="298"/>
      <c r="J50" s="298"/>
      <c r="K50" s="299"/>
      <c r="L50" s="300"/>
      <c r="M50" s="283"/>
      <c r="N50" s="448">
        <f>IF('Tablas honorarios'!$D$81&lt;AD50,AD50,'Tablas honorarios'!$D$81)</f>
        <v>22300</v>
      </c>
      <c r="O50" s="449"/>
      <c r="P50" s="381"/>
      <c r="Q50" s="357">
        <f>($N$50*$M$50+$N$51*$M$51+$N$52*$M$52+$N$53*$M$53)/100</f>
        <v>0</v>
      </c>
      <c r="R50" s="358"/>
      <c r="S50" s="358"/>
      <c r="T50" s="339" t="s">
        <v>205</v>
      </c>
      <c r="U50" s="340"/>
      <c r="V50" s="340"/>
      <c r="W50" s="340"/>
      <c r="X50" s="340"/>
      <c r="Y50" s="340"/>
      <c r="Z50" s="340"/>
      <c r="AA50" s="340"/>
      <c r="AB50" s="340"/>
      <c r="AC50" s="341"/>
      <c r="AD50" s="309">
        <f>IF(T50=C73,'Tablas honorarios'!M1,'Tablas honorarios'!M2)</f>
        <v>22300</v>
      </c>
      <c r="AE50" s="261" t="s">
        <v>209</v>
      </c>
    </row>
    <row r="51" spans="3:30" ht="24.75" customHeight="1" hidden="1">
      <c r="C51" s="348"/>
      <c r="D51" s="355"/>
      <c r="E51" s="333" t="s">
        <v>203</v>
      </c>
      <c r="F51" s="334"/>
      <c r="G51" s="334"/>
      <c r="H51" s="334"/>
      <c r="I51" s="334"/>
      <c r="J51" s="334"/>
      <c r="K51" s="334"/>
      <c r="L51" s="335"/>
      <c r="M51" s="286"/>
      <c r="N51" s="393">
        <f>'Tablas honorarios'!$F$81</f>
        <v>22300</v>
      </c>
      <c r="O51" s="394"/>
      <c r="P51" s="395"/>
      <c r="Q51" s="359"/>
      <c r="R51" s="360"/>
      <c r="S51" s="361"/>
      <c r="AD51" s="309"/>
    </row>
    <row r="52" spans="3:30" ht="11.25" customHeight="1" hidden="1">
      <c r="C52" s="348"/>
      <c r="D52" s="355"/>
      <c r="E52" s="301" t="s">
        <v>112</v>
      </c>
      <c r="F52" s="297"/>
      <c r="G52" s="297"/>
      <c r="H52" s="297"/>
      <c r="I52" s="297"/>
      <c r="J52" s="297"/>
      <c r="K52" s="302"/>
      <c r="L52" s="303"/>
      <c r="M52" s="286"/>
      <c r="N52" s="393">
        <f>'Tablas honorarios'!$H$81</f>
        <v>5575</v>
      </c>
      <c r="O52" s="394"/>
      <c r="P52" s="395"/>
      <c r="Q52" s="359"/>
      <c r="R52" s="360"/>
      <c r="S52" s="361"/>
      <c r="AD52" s="309"/>
    </row>
    <row r="53" spans="3:30" ht="12.75" customHeight="1" hidden="1">
      <c r="C53" s="348"/>
      <c r="D53" s="356"/>
      <c r="E53" s="304" t="s">
        <v>113</v>
      </c>
      <c r="F53" s="305"/>
      <c r="G53" s="305"/>
      <c r="H53" s="305"/>
      <c r="I53" s="305"/>
      <c r="J53" s="305"/>
      <c r="K53" s="306"/>
      <c r="L53" s="307"/>
      <c r="M53" s="284"/>
      <c r="N53" s="511">
        <f>'Tablas honorarios'!$J$81</f>
        <v>11150</v>
      </c>
      <c r="O53" s="512"/>
      <c r="P53" s="513"/>
      <c r="Q53" s="362"/>
      <c r="R53" s="363"/>
      <c r="S53" s="364"/>
      <c r="AD53" s="309"/>
    </row>
    <row r="54" spans="3:30" ht="12.75">
      <c r="C54" s="348"/>
      <c r="D54" s="510" t="s">
        <v>21</v>
      </c>
      <c r="E54" s="215" t="s">
        <v>114</v>
      </c>
      <c r="F54" s="216"/>
      <c r="G54" s="216"/>
      <c r="H54" s="216"/>
      <c r="I54" s="216"/>
      <c r="J54" s="216"/>
      <c r="K54" s="251"/>
      <c r="L54" s="252"/>
      <c r="M54" s="283"/>
      <c r="N54" s="392">
        <f>'Tablas honorarios'!$L$81</f>
        <v>4460</v>
      </c>
      <c r="O54" s="342"/>
      <c r="P54" s="343"/>
      <c r="Q54" s="357">
        <f>($N$54*$M$54+$N$55*$M$55)/100</f>
        <v>0</v>
      </c>
      <c r="R54" s="358"/>
      <c r="S54" s="391"/>
      <c r="AD54" s="309">
        <f>'Tablas honorarios'!$D$81</f>
        <v>5575</v>
      </c>
    </row>
    <row r="55" spans="3:19" ht="12.75">
      <c r="C55" s="349"/>
      <c r="D55" s="356"/>
      <c r="E55" s="255" t="s">
        <v>115</v>
      </c>
      <c r="F55" s="220"/>
      <c r="G55" s="256"/>
      <c r="H55" s="257"/>
      <c r="I55" s="257"/>
      <c r="J55" s="257"/>
      <c r="K55" s="253"/>
      <c r="L55" s="254"/>
      <c r="M55" s="284"/>
      <c r="N55" s="407">
        <f>'Tablas honorarios'!$N$81</f>
        <v>11150</v>
      </c>
      <c r="O55" s="350"/>
      <c r="P55" s="351"/>
      <c r="Q55" s="362"/>
      <c r="R55" s="363"/>
      <c r="S55" s="364"/>
    </row>
    <row r="56" spans="3:19" ht="12.75">
      <c r="C56" s="500"/>
      <c r="D56" s="501"/>
      <c r="E56" s="501"/>
      <c r="F56" s="501"/>
      <c r="G56" s="501"/>
      <c r="H56" s="501"/>
      <c r="I56" s="501"/>
      <c r="J56" s="501"/>
      <c r="K56" s="501"/>
      <c r="L56" s="501"/>
      <c r="M56" s="501"/>
      <c r="N56" s="501"/>
      <c r="O56" s="501"/>
      <c r="P56" s="501"/>
      <c r="Q56" s="501"/>
      <c r="R56" s="501"/>
      <c r="S56" s="502"/>
    </row>
    <row r="57" spans="3:19" ht="18.75" customHeight="1">
      <c r="C57" s="369" t="s">
        <v>76</v>
      </c>
      <c r="D57" s="370"/>
      <c r="E57" s="370"/>
      <c r="F57" s="370"/>
      <c r="G57" s="370"/>
      <c r="H57" s="370"/>
      <c r="I57" s="370"/>
      <c r="J57" s="370"/>
      <c r="K57" s="370"/>
      <c r="L57" s="370"/>
      <c r="M57" s="370"/>
      <c r="N57" s="370"/>
      <c r="O57" s="370"/>
      <c r="P57" s="371"/>
      <c r="Q57" s="547">
        <f>ROUND(SUM($Q$19:$S$55),2)</f>
        <v>0</v>
      </c>
      <c r="R57" s="547"/>
      <c r="S57" s="547"/>
    </row>
    <row r="58" spans="3:29" ht="18.75" customHeight="1">
      <c r="C58" s="369" t="s">
        <v>77</v>
      </c>
      <c r="D58" s="370"/>
      <c r="E58" s="370"/>
      <c r="F58" s="370"/>
      <c r="G58" s="370"/>
      <c r="H58" s="370"/>
      <c r="I58" s="370"/>
      <c r="J58" s="548"/>
      <c r="K58" s="548"/>
      <c r="L58" s="548"/>
      <c r="M58" s="548"/>
      <c r="N58" s="548"/>
      <c r="O58" s="548"/>
      <c r="P58" s="549"/>
      <c r="Q58" s="555">
        <v>0</v>
      </c>
      <c r="R58" s="555"/>
      <c r="S58" s="555"/>
      <c r="T58" s="365">
        <f>IF(AND(Q57&gt;Q58,Q57&lt;&gt;0),"EL HONORARIO DEBE SER MAYOR","")</f>
      </c>
      <c r="U58" s="366"/>
      <c r="V58" s="366"/>
      <c r="W58" s="366"/>
      <c r="X58" s="366"/>
      <c r="Y58" s="366"/>
      <c r="Z58" s="366"/>
      <c r="AA58" s="366"/>
      <c r="AB58" s="366"/>
      <c r="AC58" s="366"/>
    </row>
    <row r="59" spans="3:29" ht="12.75" customHeight="1">
      <c r="C59" s="545" t="str">
        <f>CONCATENATE("HONORARIO MINIMO  =  $  ",'Tablas honorarios'!C1,"  .-")</f>
        <v>HONORARIO MINIMO  =  $  11150  .-</v>
      </c>
      <c r="D59" s="545"/>
      <c r="E59" s="545"/>
      <c r="F59" s="545"/>
      <c r="G59" s="545"/>
      <c r="H59" s="545"/>
      <c r="I59" s="546"/>
      <c r="J59" s="378" t="s">
        <v>67</v>
      </c>
      <c r="K59" s="379"/>
      <c r="L59" s="379"/>
      <c r="M59" s="379"/>
      <c r="N59" s="379"/>
      <c r="O59" s="300">
        <v>1.2</v>
      </c>
      <c r="P59" s="293" t="s">
        <v>75</v>
      </c>
      <c r="Q59" s="381">
        <f>Q58*O59/100</f>
        <v>0</v>
      </c>
      <c r="R59" s="382"/>
      <c r="S59" s="382"/>
      <c r="T59" s="367" t="s">
        <v>183</v>
      </c>
      <c r="U59" s="368"/>
      <c r="V59" s="368"/>
      <c r="W59" s="368"/>
      <c r="X59" s="368"/>
      <c r="Y59" s="368"/>
      <c r="Z59" s="368"/>
      <c r="AA59" s="368"/>
      <c r="AB59" s="368"/>
      <c r="AC59" s="368"/>
    </row>
    <row r="60" spans="3:29" ht="13.5" thickBot="1">
      <c r="C60" s="545"/>
      <c r="D60" s="545"/>
      <c r="E60" s="545"/>
      <c r="F60" s="545"/>
      <c r="G60" s="545"/>
      <c r="H60" s="545"/>
      <c r="I60" s="545"/>
      <c r="J60" s="556" t="s">
        <v>65</v>
      </c>
      <c r="K60" s="557"/>
      <c r="L60" s="557"/>
      <c r="M60" s="557"/>
      <c r="N60" s="558"/>
      <c r="O60" s="311">
        <v>2.5</v>
      </c>
      <c r="P60" s="292" t="s">
        <v>17</v>
      </c>
      <c r="Q60" s="332">
        <f>IF(Q58&lt;&gt;0,(IF(Q58&lt;='Tablas honorarios'!C6,'Tablas honorarios'!C5,Q58*0.025)),0)</f>
        <v>0</v>
      </c>
      <c r="R60" s="332"/>
      <c r="S60" s="332"/>
      <c r="T60" s="367"/>
      <c r="U60" s="368"/>
      <c r="V60" s="368"/>
      <c r="W60" s="368"/>
      <c r="X60" s="368"/>
      <c r="Y60" s="368"/>
      <c r="Z60" s="368"/>
      <c r="AA60" s="368"/>
      <c r="AB60" s="368"/>
      <c r="AC60" s="368"/>
    </row>
    <row r="61" spans="3:29" ht="13.5" thickBot="1">
      <c r="C61" s="545"/>
      <c r="D61" s="545"/>
      <c r="E61" s="545"/>
      <c r="F61" s="545"/>
      <c r="G61" s="545"/>
      <c r="H61" s="545"/>
      <c r="I61" s="545"/>
      <c r="J61" s="550" t="s">
        <v>198</v>
      </c>
      <c r="K61" s="551"/>
      <c r="L61" s="551"/>
      <c r="M61" s="551"/>
      <c r="N61" s="279" t="s">
        <v>197</v>
      </c>
      <c r="O61" s="312">
        <v>1.5</v>
      </c>
      <c r="P61" s="275" t="s">
        <v>17</v>
      </c>
      <c r="Q61" s="552">
        <f>IF(N61="SI",Q58*O61/100,0)</f>
        <v>0</v>
      </c>
      <c r="R61" s="553"/>
      <c r="S61" s="554"/>
      <c r="T61" s="367"/>
      <c r="U61" s="368"/>
      <c r="V61" s="368"/>
      <c r="W61" s="368"/>
      <c r="X61" s="368"/>
      <c r="Y61" s="368"/>
      <c r="Z61" s="368"/>
      <c r="AA61" s="368"/>
      <c r="AB61" s="368"/>
      <c r="AC61" s="368"/>
    </row>
    <row r="62" spans="3:29" ht="12.75">
      <c r="C62" s="545"/>
      <c r="D62" s="545"/>
      <c r="E62" s="545"/>
      <c r="F62" s="545"/>
      <c r="G62" s="545"/>
      <c r="H62" s="545"/>
      <c r="I62" s="545"/>
      <c r="J62" s="372" t="s">
        <v>74</v>
      </c>
      <c r="K62" s="373"/>
      <c r="L62" s="373"/>
      <c r="M62" s="373"/>
      <c r="N62" s="374"/>
      <c r="O62" s="258">
        <v>10</v>
      </c>
      <c r="P62" s="259" t="s">
        <v>75</v>
      </c>
      <c r="Q62" s="559">
        <f>Q58/10</f>
        <v>0</v>
      </c>
      <c r="R62" s="559"/>
      <c r="S62" s="559"/>
      <c r="T62" s="367"/>
      <c r="U62" s="368"/>
      <c r="V62" s="368"/>
      <c r="W62" s="368"/>
      <c r="X62" s="368"/>
      <c r="Y62" s="368"/>
      <c r="Z62" s="368"/>
      <c r="AA62" s="368"/>
      <c r="AB62" s="368"/>
      <c r="AC62" s="368"/>
    </row>
    <row r="63" spans="3:29" ht="12.75">
      <c r="C63" s="375" t="s">
        <v>69</v>
      </c>
      <c r="D63" s="376"/>
      <c r="E63" s="376"/>
      <c r="F63" s="376"/>
      <c r="G63" s="376"/>
      <c r="H63" s="376"/>
      <c r="I63" s="376"/>
      <c r="J63" s="376"/>
      <c r="K63" s="376"/>
      <c r="L63" s="376"/>
      <c r="M63" s="376"/>
      <c r="N63" s="376"/>
      <c r="O63" s="376"/>
      <c r="P63" s="377"/>
      <c r="Q63" s="380">
        <f>SUM(Q59:S62)</f>
        <v>0</v>
      </c>
      <c r="R63" s="380"/>
      <c r="S63" s="380"/>
      <c r="T63" s="367"/>
      <c r="U63" s="368"/>
      <c r="V63" s="368"/>
      <c r="W63" s="368"/>
      <c r="X63" s="368"/>
      <c r="Y63" s="368"/>
      <c r="Z63" s="368"/>
      <c r="AA63" s="368"/>
      <c r="AB63" s="368"/>
      <c r="AC63" s="368"/>
    </row>
    <row r="64" spans="3:28" ht="12.75">
      <c r="C64" s="542" t="str">
        <f>CONCATENATE("2021.",'Tablas honorarios'!C3,".0")</f>
        <v>2021.1352.0</v>
      </c>
      <c r="D64" s="543"/>
      <c r="E64" s="543"/>
      <c r="F64" s="543"/>
      <c r="G64" s="543"/>
      <c r="H64" s="543"/>
      <c r="I64" s="543"/>
      <c r="J64" s="543"/>
      <c r="K64" s="543"/>
      <c r="L64" s="543"/>
      <c r="M64" s="543"/>
      <c r="N64" s="543"/>
      <c r="O64" s="543"/>
      <c r="P64" s="543"/>
      <c r="Q64" s="543"/>
      <c r="R64" s="543"/>
      <c r="S64" s="544"/>
      <c r="T64" s="277"/>
      <c r="U64" s="278"/>
      <c r="V64" s="278"/>
      <c r="W64" s="278"/>
      <c r="X64" s="278"/>
      <c r="Y64" s="278"/>
      <c r="Z64" s="278"/>
      <c r="AA64" s="278"/>
      <c r="AB64" s="278"/>
    </row>
    <row r="65" spans="3:19" ht="22.5" customHeight="1">
      <c r="C65" s="539" t="s">
        <v>186</v>
      </c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1"/>
    </row>
    <row r="66" spans="3:18" ht="12.75">
      <c r="C66" s="201">
        <v>1.2</v>
      </c>
      <c r="D66" s="201" t="s">
        <v>63</v>
      </c>
      <c r="F66" s="66"/>
      <c r="G66" s="66"/>
      <c r="N66" s="69"/>
      <c r="O66" s="70"/>
      <c r="Q66" s="71"/>
      <c r="R66" s="66"/>
    </row>
    <row r="67" spans="3:4" ht="12.75">
      <c r="C67" s="201">
        <v>1.2</v>
      </c>
      <c r="D67" s="201" t="s">
        <v>197</v>
      </c>
    </row>
    <row r="69" ht="25.5" customHeight="1"/>
    <row r="70" spans="20:26" ht="25.5" customHeight="1">
      <c r="T70" s="79"/>
      <c r="U70" s="79"/>
      <c r="V70" s="79"/>
      <c r="W70" s="79"/>
      <c r="X70" s="79"/>
      <c r="Y70" s="79"/>
      <c r="Z70" s="79"/>
    </row>
    <row r="71" spans="4:25" s="61" customFormat="1" ht="12.75" customHeight="1"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76">
        <f>Q58*2.5/100</f>
        <v>0</v>
      </c>
      <c r="V71" s="64"/>
      <c r="W71" s="62"/>
      <c r="X71" s="59"/>
      <c r="Y71" s="59"/>
    </row>
    <row r="72" spans="4:25" s="61" customFormat="1" ht="12.75" customHeight="1"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X72" s="59"/>
      <c r="Y72" s="59"/>
    </row>
    <row r="73" spans="3:25" s="61" customFormat="1" ht="12.75" customHeight="1">
      <c r="C73" s="310" t="s">
        <v>205</v>
      </c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77"/>
      <c r="V73" s="64"/>
      <c r="W73" s="62"/>
      <c r="X73" s="59"/>
      <c r="Y73" s="59"/>
    </row>
    <row r="74" ht="12.75">
      <c r="C74" s="310" t="s">
        <v>207</v>
      </c>
    </row>
    <row r="76" spans="20:21" ht="12.75" customHeight="1" hidden="1">
      <c r="T76" s="68"/>
      <c r="U76" s="68"/>
    </row>
    <row r="77" spans="20:24" ht="12.75" customHeight="1" hidden="1">
      <c r="T77" s="69"/>
      <c r="U77" s="70"/>
      <c r="W77" s="71"/>
      <c r="X77" s="66"/>
    </row>
  </sheetData>
  <sheetProtection password="CC69" sheet="1" selectLockedCells="1"/>
  <mergeCells count="138">
    <mergeCell ref="C65:S65"/>
    <mergeCell ref="C64:S64"/>
    <mergeCell ref="C59:I62"/>
    <mergeCell ref="Q57:S57"/>
    <mergeCell ref="C58:P58"/>
    <mergeCell ref="J61:M61"/>
    <mergeCell ref="Q61:S61"/>
    <mergeCell ref="Q58:S58"/>
    <mergeCell ref="J60:N60"/>
    <mergeCell ref="Q62:S62"/>
    <mergeCell ref="T49:AC49"/>
    <mergeCell ref="N43:P43"/>
    <mergeCell ref="D45:D49"/>
    <mergeCell ref="N19:P19"/>
    <mergeCell ref="Q27:S32"/>
    <mergeCell ref="Q34:S35"/>
    <mergeCell ref="N32:P32"/>
    <mergeCell ref="N23:P23"/>
    <mergeCell ref="M43:M44"/>
    <mergeCell ref="T22:AC26"/>
    <mergeCell ref="N51:P51"/>
    <mergeCell ref="D43:D44"/>
    <mergeCell ref="N55:P55"/>
    <mergeCell ref="K16:M17"/>
    <mergeCell ref="K15:M15"/>
    <mergeCell ref="N29:P29"/>
    <mergeCell ref="C36:S36"/>
    <mergeCell ref="E15:F15"/>
    <mergeCell ref="I15:J15"/>
    <mergeCell ref="G15:H15"/>
    <mergeCell ref="D50:D53"/>
    <mergeCell ref="Q38:S42"/>
    <mergeCell ref="C56:S56"/>
    <mergeCell ref="D54:D55"/>
    <mergeCell ref="Q43:S44"/>
    <mergeCell ref="Q45:S49"/>
    <mergeCell ref="N40:P40"/>
    <mergeCell ref="N54:P54"/>
    <mergeCell ref="N44:P44"/>
    <mergeCell ref="N53:P53"/>
    <mergeCell ref="N37:P37"/>
    <mergeCell ref="O7:Q7"/>
    <mergeCell ref="K10:M10"/>
    <mergeCell ref="K11:M11"/>
    <mergeCell ref="Q19:S20"/>
    <mergeCell ref="G10:H10"/>
    <mergeCell ref="C18:S18"/>
    <mergeCell ref="C9:S9"/>
    <mergeCell ref="C19:C25"/>
    <mergeCell ref="D19:D20"/>
    <mergeCell ref="T2:V2"/>
    <mergeCell ref="C2:S2"/>
    <mergeCell ref="E8:G8"/>
    <mergeCell ref="H8:I8"/>
    <mergeCell ref="O3:P3"/>
    <mergeCell ref="G12:H12"/>
    <mergeCell ref="K12:M12"/>
    <mergeCell ref="C7:D8"/>
    <mergeCell ref="N10:S10"/>
    <mergeCell ref="C10:D17"/>
    <mergeCell ref="N50:P50"/>
    <mergeCell ref="C26:S26"/>
    <mergeCell ref="N38:P38"/>
    <mergeCell ref="K25:L25"/>
    <mergeCell ref="Q21:S21"/>
    <mergeCell ref="K13:M13"/>
    <mergeCell ref="N11:S17"/>
    <mergeCell ref="G14:H14"/>
    <mergeCell ref="I14:J14"/>
    <mergeCell ref="N31:P31"/>
    <mergeCell ref="E10:F10"/>
    <mergeCell ref="G13:H13"/>
    <mergeCell ref="E37:M37"/>
    <mergeCell ref="E25:J25"/>
    <mergeCell ref="E12:F12"/>
    <mergeCell ref="K14:M14"/>
    <mergeCell ref="E13:F13"/>
    <mergeCell ref="E14:F14"/>
    <mergeCell ref="I10:J10"/>
    <mergeCell ref="E11:F11"/>
    <mergeCell ref="Q3:S3"/>
    <mergeCell ref="E3:N3"/>
    <mergeCell ref="E4:S4"/>
    <mergeCell ref="J8:S8"/>
    <mergeCell ref="E5:S5"/>
    <mergeCell ref="E7:G7"/>
    <mergeCell ref="R7:S7"/>
    <mergeCell ref="E6:S6"/>
    <mergeCell ref="H7:I7"/>
    <mergeCell ref="J7:M7"/>
    <mergeCell ref="C37:C55"/>
    <mergeCell ref="N42:P42"/>
    <mergeCell ref="N34:P34"/>
    <mergeCell ref="N30:P30"/>
    <mergeCell ref="D21:D25"/>
    <mergeCell ref="C27:C32"/>
    <mergeCell ref="N22:P22"/>
    <mergeCell ref="N49:P49"/>
    <mergeCell ref="N41:P41"/>
    <mergeCell ref="M38:M42"/>
    <mergeCell ref="Q22:S25"/>
    <mergeCell ref="I12:J12"/>
    <mergeCell ref="I13:J13"/>
    <mergeCell ref="N20:P20"/>
    <mergeCell ref="E16:J17"/>
    <mergeCell ref="N25:P25"/>
    <mergeCell ref="M22:M23"/>
    <mergeCell ref="N24:P24"/>
    <mergeCell ref="I11:J11"/>
    <mergeCell ref="N21:P21"/>
    <mergeCell ref="G11:H11"/>
    <mergeCell ref="C3:D3"/>
    <mergeCell ref="Q54:S55"/>
    <mergeCell ref="N45:P45"/>
    <mergeCell ref="N46:P46"/>
    <mergeCell ref="N47:P47"/>
    <mergeCell ref="N48:P48"/>
    <mergeCell ref="N52:P52"/>
    <mergeCell ref="D37:D42"/>
    <mergeCell ref="Q50:S53"/>
    <mergeCell ref="T58:AC58"/>
    <mergeCell ref="T59:AC63"/>
    <mergeCell ref="C57:P57"/>
    <mergeCell ref="J62:N62"/>
    <mergeCell ref="C63:P63"/>
    <mergeCell ref="J59:N59"/>
    <mergeCell ref="Q63:S63"/>
    <mergeCell ref="Q59:S59"/>
    <mergeCell ref="Q60:S60"/>
    <mergeCell ref="E51:L51"/>
    <mergeCell ref="N39:P39"/>
    <mergeCell ref="T50:AC50"/>
    <mergeCell ref="N27:P27"/>
    <mergeCell ref="N28:P28"/>
    <mergeCell ref="C33:S33"/>
    <mergeCell ref="D27:D32"/>
    <mergeCell ref="N35:P35"/>
    <mergeCell ref="C34:C35"/>
  </mergeCells>
  <dataValidations count="4">
    <dataValidation operator="greaterThanOrEqual" showInputMessage="1" showErrorMessage="1" errorTitle="Error" error="El Honorario Convenido debe ser mayor o igual al Honorario Mínimo" sqref="Q58:S58"/>
    <dataValidation type="list" allowBlank="1" showDropDown="1" showInputMessage="1" showErrorMessage="1" sqref="O59">
      <formula1>$C$66:$C$67</formula1>
    </dataValidation>
    <dataValidation type="list" allowBlank="1" showInputMessage="1" showErrorMessage="1" sqref="N61">
      <formula1>$D$66:$D$67</formula1>
    </dataValidation>
    <dataValidation type="list" allowBlank="1" showInputMessage="1" showErrorMessage="1" sqref="T50:AC50">
      <formula1>$C$73:$C$74</formula1>
    </dataValidation>
  </dataValidations>
  <printOptions gridLines="1"/>
  <pageMargins left="0.25" right="0.25" top="0.75" bottom="0.75" header="0.3" footer="0.3"/>
  <pageSetup fitToHeight="1" fitToWidth="1" horizontalDpi="300" verticalDpi="300" orientation="portrait" paperSize="9" scale="93" r:id="rId1"/>
  <headerFooter alignWithMargins="0">
    <oddFooter>&amp;L&amp;F&amp;D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showGridLines="0" showZeros="0" showOutlineSymbols="0" zoomScalePageLayoutView="0" workbookViewId="0" topLeftCell="A1">
      <selection activeCell="B23" sqref="B23"/>
    </sheetView>
  </sheetViews>
  <sheetFormatPr defaultColWidth="3.7109375" defaultRowHeight="12" customHeight="1"/>
  <cols>
    <col min="1" max="5" width="3.7109375" style="1" customWidth="1"/>
    <col min="6" max="6" width="15.140625" style="3" customWidth="1"/>
    <col min="7" max="7" width="5.28125" style="1" customWidth="1"/>
    <col min="8" max="8" width="4.57421875" style="2" customWidth="1"/>
    <col min="9" max="9" width="8.421875" style="1" customWidth="1"/>
    <col min="10" max="10" width="8.140625" style="1" customWidth="1"/>
    <col min="11" max="11" width="22.7109375" style="1" customWidth="1"/>
    <col min="12" max="12" width="5.140625" style="1" customWidth="1"/>
    <col min="13" max="13" width="2.140625" style="1" customWidth="1"/>
    <col min="14" max="14" width="8.28125" style="1" customWidth="1"/>
    <col min="15" max="15" width="7.57421875" style="1" customWidth="1"/>
    <col min="16" max="16" width="4.7109375" style="1" customWidth="1"/>
    <col min="17" max="17" width="11.421875" style="1" customWidth="1"/>
    <col min="18" max="22" width="3.8515625" style="1" customWidth="1"/>
    <col min="23" max="16384" width="3.7109375" style="1" customWidth="1"/>
  </cols>
  <sheetData>
    <row r="1" spans="1:18" ht="12.75">
      <c r="A1" s="638" t="s">
        <v>178</v>
      </c>
      <c r="B1" s="638"/>
      <c r="C1" s="638"/>
      <c r="D1" s="638"/>
      <c r="E1" s="638"/>
      <c r="F1" s="638"/>
      <c r="G1"/>
      <c r="H1" s="202"/>
      <c r="I1" s="202"/>
      <c r="J1" s="202"/>
      <c r="K1" s="202"/>
      <c r="L1"/>
      <c r="M1" s="643" t="str">
        <f>CONCATENATE("CIVIL
Resolución Nº ",'Tablas honorarios'!C3)</f>
        <v>CIVIL
Resolución Nº 1352</v>
      </c>
      <c r="N1" s="644"/>
      <c r="O1" s="644"/>
      <c r="P1" s="644"/>
      <c r="Q1" s="644"/>
      <c r="R1" s="644"/>
    </row>
    <row r="2" spans="1:18" s="58" customFormat="1" ht="11.25">
      <c r="A2" s="639" t="s">
        <v>179</v>
      </c>
      <c r="B2" s="639"/>
      <c r="C2" s="639"/>
      <c r="D2" s="639"/>
      <c r="E2" s="639"/>
      <c r="F2" s="639"/>
      <c r="H2" s="205"/>
      <c r="J2" s="206"/>
      <c r="K2" s="206"/>
      <c r="M2" s="644"/>
      <c r="N2" s="644"/>
      <c r="O2" s="644"/>
      <c r="P2" s="644"/>
      <c r="Q2" s="644"/>
      <c r="R2" s="644"/>
    </row>
    <row r="3" spans="1:18" s="210" customFormat="1" ht="11.25">
      <c r="A3" s="640" t="s">
        <v>180</v>
      </c>
      <c r="B3" s="640"/>
      <c r="C3" s="640"/>
      <c r="D3" s="640"/>
      <c r="E3" s="640"/>
      <c r="F3" s="640"/>
      <c r="G3" s="207"/>
      <c r="H3" s="208"/>
      <c r="I3" s="208"/>
      <c r="J3" s="209"/>
      <c r="K3" s="209"/>
      <c r="L3" s="209"/>
      <c r="M3" s="645"/>
      <c r="N3" s="645"/>
      <c r="O3" s="645"/>
      <c r="P3" s="645"/>
      <c r="Q3" s="645"/>
      <c r="R3" s="645"/>
    </row>
    <row r="4" spans="1:19" ht="12" customHeight="1">
      <c r="A4" s="6"/>
      <c r="B4" s="6"/>
      <c r="C4" s="6"/>
      <c r="D4" s="6"/>
      <c r="E4" s="6"/>
      <c r="F4" s="56"/>
      <c r="G4" s="6"/>
      <c r="H4" s="57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12.75" customHeight="1">
      <c r="A5" s="6"/>
      <c r="B5" s="641" t="s">
        <v>70</v>
      </c>
      <c r="C5" s="641"/>
      <c r="D5" s="641"/>
      <c r="E5" s="641"/>
      <c r="F5" s="641"/>
      <c r="G5" s="641"/>
      <c r="H5" s="641"/>
      <c r="I5" s="641"/>
      <c r="J5" s="641"/>
      <c r="K5" s="636">
        <f>DATOS!$E$3</f>
        <v>0</v>
      </c>
      <c r="L5" s="636"/>
      <c r="M5" s="634" t="s">
        <v>177</v>
      </c>
      <c r="N5" s="634"/>
      <c r="O5" s="634"/>
      <c r="P5" s="635">
        <f>DATOS!$Q$3</f>
        <v>0</v>
      </c>
      <c r="Q5" s="635"/>
      <c r="R5" s="635"/>
      <c r="S5" s="6"/>
    </row>
    <row r="6" spans="1:19" ht="12">
      <c r="A6" s="6"/>
      <c r="B6" s="641" t="s">
        <v>71</v>
      </c>
      <c r="C6" s="641"/>
      <c r="D6" s="646">
        <f>DATOS!$E$4</f>
        <v>0</v>
      </c>
      <c r="E6" s="646"/>
      <c r="F6" s="646"/>
      <c r="G6" s="646"/>
      <c r="H6" s="646"/>
      <c r="I6" s="646"/>
      <c r="J6" s="646"/>
      <c r="K6" s="57" t="s">
        <v>24</v>
      </c>
      <c r="L6" s="633">
        <f>DATOS!$E$5</f>
        <v>0</v>
      </c>
      <c r="M6" s="633"/>
      <c r="N6" s="633"/>
      <c r="O6" s="633"/>
      <c r="P6" s="633"/>
      <c r="Q6" s="633"/>
      <c r="R6" s="633"/>
      <c r="S6" s="6"/>
    </row>
    <row r="7" spans="1:19" ht="12">
      <c r="A7" s="6"/>
      <c r="B7" s="637" t="s">
        <v>25</v>
      </c>
      <c r="C7" s="637"/>
      <c r="D7" s="637"/>
      <c r="E7" s="642">
        <f>DATOS!$E$6</f>
        <v>0</v>
      </c>
      <c r="F7" s="642"/>
      <c r="G7" s="642"/>
      <c r="H7" s="642"/>
      <c r="I7" s="642"/>
      <c r="J7" s="642"/>
      <c r="K7" s="642"/>
      <c r="L7" s="642"/>
      <c r="M7" s="642"/>
      <c r="N7" s="642"/>
      <c r="O7" s="642"/>
      <c r="P7" s="642"/>
      <c r="Q7" s="642"/>
      <c r="R7" s="642"/>
      <c r="S7" s="6"/>
    </row>
    <row r="8" spans="1:19" ht="12">
      <c r="A8" s="137"/>
      <c r="B8" s="137"/>
      <c r="C8" s="137"/>
      <c r="D8" s="137"/>
      <c r="E8" s="137"/>
      <c r="F8" s="163"/>
      <c r="G8" s="137"/>
      <c r="H8" s="164"/>
      <c r="I8" s="137"/>
      <c r="J8" s="137"/>
      <c r="K8" s="137"/>
      <c r="L8" s="137"/>
      <c r="M8" s="137"/>
      <c r="N8" s="137"/>
      <c r="O8" s="137"/>
      <c r="P8" s="165"/>
      <c r="Q8" s="137"/>
      <c r="R8" s="137"/>
      <c r="S8" s="6"/>
    </row>
    <row r="9" spans="1:19" ht="12">
      <c r="A9" s="6"/>
      <c r="B9" s="6"/>
      <c r="C9" s="6"/>
      <c r="D9" s="6"/>
      <c r="E9" s="6"/>
      <c r="F9" s="56"/>
      <c r="G9" s="6"/>
      <c r="H9" s="57"/>
      <c r="I9" s="6"/>
      <c r="J9" s="6"/>
      <c r="K9" s="6"/>
      <c r="L9" s="6"/>
      <c r="M9" s="6"/>
      <c r="N9" s="6"/>
      <c r="O9" s="6"/>
      <c r="P9" s="98"/>
      <c r="Q9" s="6"/>
      <c r="R9" s="6"/>
      <c r="S9" s="6"/>
    </row>
    <row r="10" spans="1:19" ht="12.75">
      <c r="A10" s="57" t="s">
        <v>26</v>
      </c>
      <c r="B10" s="99" t="s">
        <v>127</v>
      </c>
      <c r="C10" s="6"/>
      <c r="D10" s="6"/>
      <c r="E10" s="56"/>
      <c r="F10" s="56"/>
      <c r="G10" s="60"/>
      <c r="H10" s="641">
        <f>IF(DATOS!$H$7="si","Dirección Ejecutiva",IF(DATOS!$N$7="si","Dirección por Contratos Separados",IF(DATOS!$R$7="si","Por contrato único",IF(DATOS!H8="si","Existente",""))))</f>
      </c>
      <c r="I10" s="641"/>
      <c r="J10" s="641"/>
      <c r="K10" s="641"/>
      <c r="L10" s="641"/>
      <c r="M10" s="641"/>
      <c r="N10" s="641"/>
      <c r="O10" s="641"/>
      <c r="P10" s="641"/>
      <c r="Q10" s="641"/>
      <c r="R10" s="641"/>
      <c r="S10" s="6"/>
    </row>
    <row r="11" spans="1:19" ht="6.75" customHeight="1">
      <c r="A11" s="6"/>
      <c r="B11" s="6"/>
      <c r="C11" s="6"/>
      <c r="D11" s="6"/>
      <c r="E11" s="6"/>
      <c r="F11" s="100"/>
      <c r="G11" s="6"/>
      <c r="H11" s="57"/>
      <c r="I11" s="6"/>
      <c r="J11" s="6"/>
      <c r="K11" s="6"/>
      <c r="L11" s="6"/>
      <c r="M11" s="6"/>
      <c r="N11" s="6"/>
      <c r="O11" s="6"/>
      <c r="P11" s="98"/>
      <c r="Q11" s="6"/>
      <c r="R11" s="6"/>
      <c r="S11" s="6"/>
    </row>
    <row r="12" spans="1:19" ht="12">
      <c r="A12" s="81" t="s">
        <v>27</v>
      </c>
      <c r="B12" s="90" t="s">
        <v>126</v>
      </c>
      <c r="C12" s="73"/>
      <c r="D12" s="73"/>
      <c r="E12" s="73"/>
      <c r="F12" s="56"/>
      <c r="G12" s="73"/>
      <c r="H12" s="57"/>
      <c r="I12" s="73"/>
      <c r="J12" s="73"/>
      <c r="K12" s="73"/>
      <c r="L12" s="73"/>
      <c r="M12" s="73"/>
      <c r="N12" s="73"/>
      <c r="O12" s="73"/>
      <c r="P12" s="101"/>
      <c r="Q12" s="73"/>
      <c r="R12" s="73"/>
      <c r="S12" s="6"/>
    </row>
    <row r="13" spans="1:19" s="58" customFormat="1" ht="12.75" customHeight="1">
      <c r="A13" s="102"/>
      <c r="B13" s="608" t="s">
        <v>123</v>
      </c>
      <c r="C13" s="609"/>
      <c r="D13" s="609"/>
      <c r="E13" s="610"/>
      <c r="F13" s="83" t="s">
        <v>124</v>
      </c>
      <c r="G13" s="608" t="s">
        <v>125</v>
      </c>
      <c r="H13" s="609"/>
      <c r="I13" s="609"/>
      <c r="J13" s="610"/>
      <c r="K13" s="83" t="s">
        <v>95</v>
      </c>
      <c r="L13" s="608" t="s">
        <v>28</v>
      </c>
      <c r="M13" s="609"/>
      <c r="N13" s="609"/>
      <c r="O13" s="609"/>
      <c r="P13" s="609"/>
      <c r="Q13" s="609"/>
      <c r="R13" s="610"/>
      <c r="S13" s="103"/>
    </row>
    <row r="14" spans="1:19" ht="12">
      <c r="A14" s="6"/>
      <c r="B14" s="584">
        <f>DATOS!$E$11</f>
        <v>0</v>
      </c>
      <c r="C14" s="585"/>
      <c r="D14" s="585"/>
      <c r="E14" s="586"/>
      <c r="F14" s="87">
        <f>DATOS!$G$11</f>
        <v>0</v>
      </c>
      <c r="G14" s="591">
        <f>DATOS!$I$11</f>
        <v>0</v>
      </c>
      <c r="H14" s="566"/>
      <c r="I14" s="566"/>
      <c r="J14" s="567"/>
      <c r="K14" s="105">
        <f>DATOS!$K$11</f>
        <v>0</v>
      </c>
      <c r="L14" s="596">
        <f>DATOS!$N$11</f>
        <v>0</v>
      </c>
      <c r="M14" s="597"/>
      <c r="N14" s="597"/>
      <c r="O14" s="597"/>
      <c r="P14" s="597"/>
      <c r="Q14" s="597"/>
      <c r="R14" s="598"/>
      <c r="S14" s="6"/>
    </row>
    <row r="15" spans="1:19" ht="12">
      <c r="A15" s="106"/>
      <c r="B15" s="605">
        <f>DATOS!$E$12</f>
        <v>0</v>
      </c>
      <c r="C15" s="606"/>
      <c r="D15" s="606"/>
      <c r="E15" s="607"/>
      <c r="F15" s="88">
        <f>DATOS!$G$12</f>
        <v>0</v>
      </c>
      <c r="G15" s="592">
        <f>DATOS!$I$12</f>
        <v>0</v>
      </c>
      <c r="H15" s="560"/>
      <c r="I15" s="560"/>
      <c r="J15" s="561"/>
      <c r="K15" s="108">
        <f>DATOS!$K$12</f>
        <v>0</v>
      </c>
      <c r="L15" s="599"/>
      <c r="M15" s="600"/>
      <c r="N15" s="600"/>
      <c r="O15" s="600"/>
      <c r="P15" s="600"/>
      <c r="Q15" s="600"/>
      <c r="R15" s="601"/>
      <c r="S15" s="6"/>
    </row>
    <row r="16" spans="1:19" ht="12">
      <c r="A16" s="106"/>
      <c r="B16" s="587">
        <f>DATOS!$E$15</f>
        <v>0</v>
      </c>
      <c r="C16" s="588"/>
      <c r="D16" s="588"/>
      <c r="E16" s="589"/>
      <c r="F16" s="88">
        <f>DATOS!$G$13</f>
        <v>0</v>
      </c>
      <c r="G16" s="592">
        <f>DATOS!$I$13</f>
        <v>0</v>
      </c>
      <c r="H16" s="560"/>
      <c r="I16" s="560"/>
      <c r="J16" s="561"/>
      <c r="K16" s="108">
        <f>DATOS!$K$13</f>
        <v>0</v>
      </c>
      <c r="L16" s="599"/>
      <c r="M16" s="600"/>
      <c r="N16" s="600"/>
      <c r="O16" s="600"/>
      <c r="P16" s="600"/>
      <c r="Q16" s="600"/>
      <c r="R16" s="601"/>
      <c r="S16" s="6"/>
    </row>
    <row r="17" spans="1:19" ht="12">
      <c r="A17" s="106"/>
      <c r="B17" s="587">
        <f>DATOS!$E$15</f>
        <v>0</v>
      </c>
      <c r="C17" s="588"/>
      <c r="D17" s="588"/>
      <c r="E17" s="589"/>
      <c r="F17" s="88">
        <f>DATOS!$G$14</f>
        <v>0</v>
      </c>
      <c r="G17" s="592">
        <f>DATOS!$I$14</f>
        <v>0</v>
      </c>
      <c r="H17" s="560"/>
      <c r="I17" s="560"/>
      <c r="J17" s="561"/>
      <c r="K17" s="108">
        <f>DATOS!$K$14</f>
        <v>0</v>
      </c>
      <c r="L17" s="599"/>
      <c r="M17" s="600"/>
      <c r="N17" s="600"/>
      <c r="O17" s="600"/>
      <c r="P17" s="600"/>
      <c r="Q17" s="600"/>
      <c r="R17" s="601"/>
      <c r="S17" s="6"/>
    </row>
    <row r="18" spans="1:19" ht="12">
      <c r="A18" s="106"/>
      <c r="B18" s="617">
        <f>DATOS!$E$15</f>
        <v>0</v>
      </c>
      <c r="C18" s="618"/>
      <c r="D18" s="618"/>
      <c r="E18" s="619"/>
      <c r="F18" s="203">
        <f>DATOS!$G$15</f>
        <v>0</v>
      </c>
      <c r="G18" s="616">
        <f>DATOS!$I$15</f>
        <v>0</v>
      </c>
      <c r="H18" s="568"/>
      <c r="I18" s="568"/>
      <c r="J18" s="569"/>
      <c r="K18" s="204">
        <f>DATOS!$K$15</f>
        <v>0</v>
      </c>
      <c r="L18" s="599"/>
      <c r="M18" s="600"/>
      <c r="N18" s="600"/>
      <c r="O18" s="600"/>
      <c r="P18" s="600"/>
      <c r="Q18" s="600"/>
      <c r="R18" s="601"/>
      <c r="S18" s="6"/>
    </row>
    <row r="19" spans="1:19" ht="13.5" customHeight="1">
      <c r="A19" s="6"/>
      <c r="B19" s="613" t="s">
        <v>68</v>
      </c>
      <c r="C19" s="614"/>
      <c r="D19" s="614"/>
      <c r="E19" s="614"/>
      <c r="F19" s="614"/>
      <c r="G19" s="614"/>
      <c r="H19" s="614"/>
      <c r="I19" s="614"/>
      <c r="J19" s="615"/>
      <c r="K19" s="166">
        <f>DATOS!$K$16</f>
        <v>0</v>
      </c>
      <c r="L19" s="602"/>
      <c r="M19" s="603"/>
      <c r="N19" s="603"/>
      <c r="O19" s="603"/>
      <c r="P19" s="603"/>
      <c r="Q19" s="603"/>
      <c r="R19" s="604"/>
      <c r="S19" s="6"/>
    </row>
    <row r="20" spans="1:19" ht="12.75">
      <c r="A20" s="73"/>
      <c r="B20" s="6"/>
      <c r="C20" s="6"/>
      <c r="D20" s="6"/>
      <c r="E20" s="6"/>
      <c r="F20" s="56"/>
      <c r="G20" s="6"/>
      <c r="H20" s="60"/>
      <c r="I20" s="60"/>
      <c r="J20" s="6"/>
      <c r="K20" s="73"/>
      <c r="L20" s="6"/>
      <c r="M20" s="56"/>
      <c r="N20" s="97"/>
      <c r="O20" s="60"/>
      <c r="P20" s="6"/>
      <c r="Q20" s="6"/>
      <c r="R20" s="60"/>
      <c r="S20" s="6"/>
    </row>
    <row r="21" spans="1:19" ht="12.75">
      <c r="A21" s="57" t="s">
        <v>29</v>
      </c>
      <c r="B21" s="90" t="s">
        <v>128</v>
      </c>
      <c r="C21" s="73"/>
      <c r="D21" s="73"/>
      <c r="E21" s="73"/>
      <c r="F21" s="56"/>
      <c r="G21" s="73"/>
      <c r="H21" s="57"/>
      <c r="I21" s="92"/>
      <c r="J21" s="73"/>
      <c r="K21" s="73"/>
      <c r="L21" s="73"/>
      <c r="M21" s="73"/>
      <c r="N21" s="6"/>
      <c r="O21" s="60"/>
      <c r="P21" s="60"/>
      <c r="Q21" s="60"/>
      <c r="R21" s="60"/>
      <c r="S21" s="6"/>
    </row>
    <row r="22" spans="1:19" ht="12">
      <c r="A22" s="73"/>
      <c r="B22" s="593" t="s">
        <v>30</v>
      </c>
      <c r="C22" s="594"/>
      <c r="D22" s="594"/>
      <c r="E22" s="594"/>
      <c r="F22" s="594"/>
      <c r="G22" s="594"/>
      <c r="H22" s="594"/>
      <c r="I22" s="594"/>
      <c r="J22" s="594"/>
      <c r="K22" s="594"/>
      <c r="L22" s="595"/>
      <c r="M22" s="81"/>
      <c r="N22" s="625" t="s">
        <v>72</v>
      </c>
      <c r="O22" s="625"/>
      <c r="P22" s="625"/>
      <c r="Q22" s="625"/>
      <c r="R22" s="625"/>
      <c r="S22" s="6"/>
    </row>
    <row r="23" spans="1:19" ht="12.75">
      <c r="A23" s="73"/>
      <c r="B23" s="324"/>
      <c r="C23" s="325"/>
      <c r="D23" s="326" t="s">
        <v>31</v>
      </c>
      <c r="E23" s="327"/>
      <c r="F23" s="328"/>
      <c r="G23" s="327"/>
      <c r="H23" s="325"/>
      <c r="I23" s="327"/>
      <c r="J23" s="318"/>
      <c r="K23" s="570">
        <f>DATOS!$Q$19</f>
        <v>0</v>
      </c>
      <c r="L23" s="571"/>
      <c r="M23" s="81"/>
      <c r="N23" s="6"/>
      <c r="O23" s="6"/>
      <c r="P23" s="6"/>
      <c r="Q23" s="6"/>
      <c r="R23" s="60"/>
      <c r="S23" s="6"/>
    </row>
    <row r="24" spans="1:19" ht="12.75" hidden="1">
      <c r="A24" s="73"/>
      <c r="B24" s="319"/>
      <c r="C24" s="144"/>
      <c r="D24" s="320" t="s">
        <v>119</v>
      </c>
      <c r="E24" s="321"/>
      <c r="F24" s="322"/>
      <c r="G24" s="321"/>
      <c r="H24" s="323"/>
      <c r="I24" s="144"/>
      <c r="J24" s="147"/>
      <c r="K24" s="611">
        <f>DATOS!$Q$21</f>
        <v>0</v>
      </c>
      <c r="L24" s="612"/>
      <c r="M24" s="81"/>
      <c r="N24" s="55"/>
      <c r="O24" s="85"/>
      <c r="P24" s="85"/>
      <c r="Q24" s="85"/>
      <c r="R24" s="119"/>
      <c r="S24" s="6"/>
    </row>
    <row r="25" spans="1:19" ht="12.75">
      <c r="A25" s="106"/>
      <c r="B25" s="168"/>
      <c r="C25" s="114"/>
      <c r="D25" s="114" t="s">
        <v>32</v>
      </c>
      <c r="E25" s="115"/>
      <c r="F25" s="113" t="s">
        <v>120</v>
      </c>
      <c r="G25" s="113"/>
      <c r="H25" s="107"/>
      <c r="I25" s="113"/>
      <c r="J25" s="117"/>
      <c r="K25" s="560">
        <f>IF(DATOS!$M$22&gt;0,DATOS!$N$22,0)</f>
        <v>0</v>
      </c>
      <c r="L25" s="561"/>
      <c r="M25" s="120"/>
      <c r="N25" s="55"/>
      <c r="O25" s="85"/>
      <c r="P25" s="85"/>
      <c r="Q25" s="85"/>
      <c r="R25" s="119"/>
      <c r="S25" s="6"/>
    </row>
    <row r="26" spans="1:19" ht="12.75">
      <c r="A26" s="120"/>
      <c r="B26" s="169"/>
      <c r="C26" s="122"/>
      <c r="D26" s="115"/>
      <c r="E26" s="115"/>
      <c r="F26" s="113" t="s">
        <v>121</v>
      </c>
      <c r="G26" s="107"/>
      <c r="H26" s="123"/>
      <c r="I26" s="113"/>
      <c r="J26" s="117"/>
      <c r="K26" s="560">
        <f>IF(DATOS!$M$22&gt;0,DATOS!$N$23,0)</f>
        <v>0</v>
      </c>
      <c r="L26" s="561"/>
      <c r="M26" s="81"/>
      <c r="N26" s="86"/>
      <c r="O26" s="329"/>
      <c r="P26" s="329"/>
      <c r="Q26" s="329"/>
      <c r="R26" s="121"/>
      <c r="S26" s="6"/>
    </row>
    <row r="27" spans="1:19" ht="12.75">
      <c r="A27" s="120"/>
      <c r="B27" s="167"/>
      <c r="C27" s="115"/>
      <c r="D27" s="115"/>
      <c r="E27" s="115"/>
      <c r="F27" s="113" t="s">
        <v>122</v>
      </c>
      <c r="G27" s="107"/>
      <c r="H27" s="107"/>
      <c r="I27" s="113"/>
      <c r="J27" s="117"/>
      <c r="K27" s="560">
        <f>DATOS!N25</f>
        <v>0</v>
      </c>
      <c r="L27" s="561"/>
      <c r="M27" s="73"/>
      <c r="N27" s="86"/>
      <c r="O27" s="329"/>
      <c r="P27" s="329"/>
      <c r="Q27" s="329"/>
      <c r="R27" s="121"/>
      <c r="S27" s="6"/>
    </row>
    <row r="28" spans="1:19" ht="12.75">
      <c r="A28" s="120"/>
      <c r="B28" s="167"/>
      <c r="C28" s="115"/>
      <c r="D28" s="115"/>
      <c r="E28" s="115"/>
      <c r="F28" s="590" t="s">
        <v>105</v>
      </c>
      <c r="G28" s="590"/>
      <c r="H28" s="590"/>
      <c r="I28" s="590"/>
      <c r="J28" s="590"/>
      <c r="K28" s="560"/>
      <c r="L28" s="561"/>
      <c r="M28" s="73"/>
      <c r="N28" s="86"/>
      <c r="O28" s="329"/>
      <c r="P28" s="329"/>
      <c r="Q28" s="329"/>
      <c r="R28" s="121"/>
      <c r="S28" s="6"/>
    </row>
    <row r="29" spans="1:19" ht="12.75">
      <c r="A29" s="120"/>
      <c r="B29" s="170"/>
      <c r="C29" s="115"/>
      <c r="D29" s="113" t="s">
        <v>33</v>
      </c>
      <c r="E29" s="115"/>
      <c r="F29" s="118">
        <f>IF(DATOS!$M$24&gt;0,'Tablas honorarios'!$C$24,0)</f>
        <v>0</v>
      </c>
      <c r="G29" s="113"/>
      <c r="H29" s="107"/>
      <c r="I29" s="113"/>
      <c r="J29" s="117"/>
      <c r="K29" s="560">
        <f>IF(DATOS!$M$24&gt;0,'Tablas honorarios'!$D$24,0)</f>
        <v>0</v>
      </c>
      <c r="L29" s="561"/>
      <c r="M29" s="73"/>
      <c r="N29" s="86"/>
      <c r="O29" s="329"/>
      <c r="P29" s="329"/>
      <c r="Q29" s="329"/>
      <c r="R29" s="121"/>
      <c r="S29" s="6"/>
    </row>
    <row r="30" spans="1:19" ht="12.75">
      <c r="A30" s="124"/>
      <c r="B30" s="169"/>
      <c r="C30" s="122"/>
      <c r="D30" s="113" t="s">
        <v>34</v>
      </c>
      <c r="E30" s="115"/>
      <c r="F30" s="118">
        <f>IF(DATOS!$M$24&gt;0,'Tablas honorarios'!$C$25,0)</f>
        <v>0</v>
      </c>
      <c r="G30" s="107" t="s">
        <v>35</v>
      </c>
      <c r="H30" s="118">
        <f>IF(DATOS!$M$24&gt;0,'Tablas honorarios'!$E$25,0)</f>
        <v>0</v>
      </c>
      <c r="I30" s="113" t="s">
        <v>17</v>
      </c>
      <c r="J30" s="117"/>
      <c r="K30" s="568">
        <f>F30*H30/100</f>
        <v>0</v>
      </c>
      <c r="L30" s="569"/>
      <c r="M30" s="73"/>
      <c r="N30" s="86"/>
      <c r="O30" s="329"/>
      <c r="P30" s="329"/>
      <c r="Q30" s="329"/>
      <c r="R30" s="121"/>
      <c r="S30" s="6"/>
    </row>
    <row r="31" spans="1:19" ht="12.75">
      <c r="A31" s="120"/>
      <c r="B31" s="169"/>
      <c r="C31" s="122"/>
      <c r="D31" s="115"/>
      <c r="E31" s="115"/>
      <c r="F31" s="125"/>
      <c r="G31" s="115"/>
      <c r="H31" s="115"/>
      <c r="I31" s="113"/>
      <c r="J31" s="117" t="s">
        <v>22</v>
      </c>
      <c r="K31" s="566">
        <f>SUM(K23:L30)</f>
        <v>0</v>
      </c>
      <c r="L31" s="567"/>
      <c r="M31" s="120"/>
      <c r="N31" s="86"/>
      <c r="O31" s="329"/>
      <c r="P31" s="329"/>
      <c r="Q31" s="329"/>
      <c r="R31" s="121"/>
      <c r="S31" s="6"/>
    </row>
    <row r="32" spans="1:19" ht="12.75">
      <c r="A32" s="120"/>
      <c r="B32" s="171"/>
      <c r="C32" s="126"/>
      <c r="D32" s="127"/>
      <c r="E32" s="127"/>
      <c r="F32" s="128"/>
      <c r="G32" s="127"/>
      <c r="H32" s="129">
        <f>+(IF(DATOS!$Q$21&lt;&gt;0,DATOS!$M$21,IF(DATOS!$Q$22&gt;0,DATOS!$M$22,0)))</f>
        <v>0</v>
      </c>
      <c r="I32" s="130" t="s">
        <v>17</v>
      </c>
      <c r="J32" s="129"/>
      <c r="K32" s="568">
        <f>IF(K31&lt;0,-(K31)*H32/100,K31*H32/100)</f>
        <v>0</v>
      </c>
      <c r="L32" s="569"/>
      <c r="M32" s="120"/>
      <c r="N32" s="86"/>
      <c r="O32" s="329"/>
      <c r="P32" s="329"/>
      <c r="Q32" s="329"/>
      <c r="R32" s="121"/>
      <c r="S32" s="6"/>
    </row>
    <row r="33" spans="1:19" ht="12.75">
      <c r="A33" s="124"/>
      <c r="B33" s="620" t="s">
        <v>36</v>
      </c>
      <c r="C33" s="620"/>
      <c r="D33" s="620"/>
      <c r="E33" s="620"/>
      <c r="F33" s="620"/>
      <c r="G33" s="620"/>
      <c r="H33" s="620"/>
      <c r="I33" s="620"/>
      <c r="J33" s="620"/>
      <c r="K33" s="620"/>
      <c r="L33" s="620"/>
      <c r="M33" s="120"/>
      <c r="N33" s="86"/>
      <c r="O33" s="329"/>
      <c r="P33" s="329"/>
      <c r="Q33" s="329"/>
      <c r="R33" s="121"/>
      <c r="S33" s="6"/>
    </row>
    <row r="34" spans="1:19" ht="12.75">
      <c r="A34" s="124"/>
      <c r="B34" s="172"/>
      <c r="C34" s="131"/>
      <c r="D34" s="111">
        <f>IF(DATOS!$M$27&gt;0,DATOS!$E$27,IF(DATOS!$M$28&gt;0,DATOS!$E$28,IF(DATOS!$M$29&gt;0,DATOS!$E$29,IF(DATOS!$M$30&gt;0,DATOS!$E$30,IF(DATOS!$M$31&gt;0,DATOS!$E$31,IF(DATOS!$M$32&gt;0,DATOS!$E$32,0))))))</f>
        <v>0</v>
      </c>
      <c r="E34" s="132"/>
      <c r="F34" s="133"/>
      <c r="G34" s="132"/>
      <c r="H34" s="132"/>
      <c r="I34" s="134"/>
      <c r="J34" s="132"/>
      <c r="K34" s="110" t="s">
        <v>23</v>
      </c>
      <c r="L34" s="173"/>
      <c r="M34" s="120"/>
      <c r="N34" s="86"/>
      <c r="O34" s="329"/>
      <c r="P34" s="329"/>
      <c r="Q34" s="329"/>
      <c r="R34" s="121"/>
      <c r="S34" s="6"/>
    </row>
    <row r="35" spans="1:19" ht="12.75">
      <c r="A35" s="60"/>
      <c r="B35" s="170"/>
      <c r="C35" s="115"/>
      <c r="D35" s="113" t="s">
        <v>33</v>
      </c>
      <c r="E35" s="115"/>
      <c r="F35" s="116">
        <f>IF($H$38=0,0,'Tablas honorarios'!$C$38)</f>
        <v>0</v>
      </c>
      <c r="G35" s="113"/>
      <c r="H35" s="107"/>
      <c r="I35" s="113"/>
      <c r="J35" s="117"/>
      <c r="K35" s="560">
        <f>IF(DATOS!$M$27&gt;0,'Tablas honorarios'!$D$38,IF(DATOS!$M$28&gt;0,'Tablas honorarios'!$F$38,IF(DATOS!$M$29&gt;0,'Tablas honorarios'!$H$38,IF(DATOS!$M$30&gt;0,'Tablas honorarios'!$J$38,IF(DATOS!$M$31&gt;0,'Tablas honorarios'!$L$38,IF(DATOS!$M$32&gt;0,'Tablas honorarios'!$N$38,0))))))</f>
        <v>0</v>
      </c>
      <c r="L35" s="561"/>
      <c r="M35" s="6"/>
      <c r="N35" s="135"/>
      <c r="O35" s="330"/>
      <c r="P35" s="330"/>
      <c r="Q35" s="330"/>
      <c r="R35" s="121"/>
      <c r="S35" s="6"/>
    </row>
    <row r="36" spans="1:19" ht="12.75">
      <c r="A36" s="120"/>
      <c r="B36" s="170"/>
      <c r="C36" s="115"/>
      <c r="D36" s="114" t="s">
        <v>34</v>
      </c>
      <c r="E36" s="115"/>
      <c r="F36" s="116">
        <f>IF($H$38=0,0,'Tablas honorarios'!$C$39)</f>
        <v>0</v>
      </c>
      <c r="G36" s="107" t="s">
        <v>35</v>
      </c>
      <c r="H36" s="118">
        <f>IF(DATOS!$M$27&gt;0,'Tablas honorarios'!$E$39,IF(DATOS!$M$28&gt;0,'Tablas honorarios'!$G$39,IF(DATOS!$M$29&gt;0,'Tablas honorarios'!$I$39,IF(DATOS!$M$30&gt;0,'Tablas honorarios'!$K$39,IF(DATOS!$M$31&gt;0,'Tablas honorarios'!$M$39,IF(DATOS!$M$32&gt;0,'Tablas honorarios'!$DK$39,0))))))</f>
        <v>0</v>
      </c>
      <c r="I36" s="113" t="s">
        <v>17</v>
      </c>
      <c r="J36" s="117"/>
      <c r="K36" s="568">
        <f>F36*H36/100</f>
        <v>0</v>
      </c>
      <c r="L36" s="569"/>
      <c r="M36" s="6"/>
      <c r="N36" s="91"/>
      <c r="O36" s="331"/>
      <c r="P36" s="331"/>
      <c r="Q36" s="331"/>
      <c r="R36" s="121"/>
      <c r="S36" s="6"/>
    </row>
    <row r="37" spans="1:19" ht="12.75">
      <c r="A37" s="124"/>
      <c r="B37" s="170"/>
      <c r="C37" s="115"/>
      <c r="D37" s="115"/>
      <c r="E37" s="115"/>
      <c r="F37" s="125"/>
      <c r="G37" s="115"/>
      <c r="H37" s="115"/>
      <c r="I37" s="113"/>
      <c r="J37" s="117" t="s">
        <v>22</v>
      </c>
      <c r="K37" s="566">
        <f>K36+K35</f>
        <v>0</v>
      </c>
      <c r="L37" s="567"/>
      <c r="M37" s="6"/>
      <c r="N37" s="136"/>
      <c r="O37" s="137"/>
      <c r="P37" s="137"/>
      <c r="Q37" s="137"/>
      <c r="R37" s="138"/>
      <c r="S37" s="6"/>
    </row>
    <row r="38" spans="1:19" ht="12.75">
      <c r="A38" s="124"/>
      <c r="B38" s="174"/>
      <c r="C38" s="139"/>
      <c r="D38" s="127"/>
      <c r="E38" s="127"/>
      <c r="F38" s="128"/>
      <c r="G38" s="127"/>
      <c r="H38" s="130">
        <f>MAX(DATOS!$M$27:$M$32)</f>
        <v>0</v>
      </c>
      <c r="I38" s="130" t="s">
        <v>17</v>
      </c>
      <c r="J38" s="129"/>
      <c r="K38" s="568">
        <f>K37*H38/100</f>
        <v>0</v>
      </c>
      <c r="L38" s="569"/>
      <c r="M38" s="6"/>
      <c r="N38" s="6"/>
      <c r="O38" s="6"/>
      <c r="P38" s="6"/>
      <c r="Q38" s="6"/>
      <c r="R38" s="60"/>
      <c r="S38" s="6"/>
    </row>
    <row r="39" spans="1:19" ht="12.75" hidden="1">
      <c r="A39" s="124"/>
      <c r="B39" s="593" t="s">
        <v>37</v>
      </c>
      <c r="C39" s="594"/>
      <c r="D39" s="594"/>
      <c r="E39" s="594"/>
      <c r="F39" s="594"/>
      <c r="G39" s="594"/>
      <c r="H39" s="594"/>
      <c r="I39" s="594"/>
      <c r="J39" s="594"/>
      <c r="K39" s="594"/>
      <c r="L39" s="595"/>
      <c r="M39" s="6"/>
      <c r="R39" s="60"/>
      <c r="S39" s="6"/>
    </row>
    <row r="40" spans="1:19" ht="12.75" hidden="1">
      <c r="A40" s="124"/>
      <c r="B40" s="172"/>
      <c r="C40" s="140"/>
      <c r="D40" s="111">
        <f>IF(DATOS!$M$34&gt;0,DATOS!$E$34,IF(DATOS!$M$35&gt;0,DATOS!$E$35,0))</f>
        <v>0</v>
      </c>
      <c r="E40" s="110"/>
      <c r="F40" s="141"/>
      <c r="G40" s="110"/>
      <c r="H40" s="110"/>
      <c r="I40" s="142"/>
      <c r="J40" s="110"/>
      <c r="K40" s="110"/>
      <c r="L40" s="173"/>
      <c r="M40" s="6"/>
      <c r="R40" s="6"/>
      <c r="S40" s="6"/>
    </row>
    <row r="41" spans="1:19" ht="12.75" hidden="1">
      <c r="A41" s="60"/>
      <c r="B41" s="170"/>
      <c r="C41" s="115"/>
      <c r="D41" s="113" t="s">
        <v>38</v>
      </c>
      <c r="E41" s="113"/>
      <c r="F41" s="116">
        <f>IF($H$44&gt;0,'Tablas honorarios'!$C$52,0)</f>
        <v>0</v>
      </c>
      <c r="G41" s="113"/>
      <c r="H41" s="107"/>
      <c r="I41" s="113"/>
      <c r="J41" s="117"/>
      <c r="K41" s="560">
        <f>IF(OR(DATOS!$M$34&gt;0,DATOS!$M$35&gt;0),'Tablas honorarios'!$D$52,IF(OR(DATOS!$M$34&gt;0,DATOS!$M$35&gt;0),'Tablas honorarios'!$F$52,0))</f>
        <v>0</v>
      </c>
      <c r="L41" s="561"/>
      <c r="M41" s="6"/>
      <c r="R41" s="6"/>
      <c r="S41" s="6"/>
    </row>
    <row r="42" spans="1:19" ht="12.75" hidden="1">
      <c r="A42" s="120"/>
      <c r="B42" s="170"/>
      <c r="C42" s="115"/>
      <c r="D42" s="113" t="s">
        <v>34</v>
      </c>
      <c r="E42" s="113"/>
      <c r="F42" s="116">
        <f>IF($H$44&gt;0,'Tablas honorarios'!$C$53,0)</f>
        <v>0</v>
      </c>
      <c r="G42" s="107" t="s">
        <v>35</v>
      </c>
      <c r="H42" s="118">
        <f>IF(OR(DATOS!$M$34&gt;0,DATOS!$M$35&gt;0),'Tablas honorarios'!$E$53,IF(OR(DATOS!$M$34&gt;0,DATOS!$M$35&gt;0),'Tablas honorarios'!$G$53,0))</f>
        <v>0</v>
      </c>
      <c r="I42" s="113" t="s">
        <v>17</v>
      </c>
      <c r="J42" s="117"/>
      <c r="K42" s="568">
        <f>F42*H42/100</f>
        <v>0</v>
      </c>
      <c r="L42" s="569"/>
      <c r="M42" s="6"/>
      <c r="R42" s="6"/>
      <c r="S42" s="6"/>
    </row>
    <row r="43" spans="1:19" ht="12.75" hidden="1">
      <c r="A43" s="124"/>
      <c r="B43" s="170"/>
      <c r="C43" s="115"/>
      <c r="D43" s="115"/>
      <c r="E43" s="115"/>
      <c r="F43" s="125"/>
      <c r="G43" s="115"/>
      <c r="H43" s="115"/>
      <c r="I43" s="113"/>
      <c r="J43" s="117" t="s">
        <v>22</v>
      </c>
      <c r="K43" s="566">
        <f>K42+K41</f>
        <v>0</v>
      </c>
      <c r="L43" s="567"/>
      <c r="M43" s="6"/>
      <c r="R43" s="6"/>
      <c r="S43" s="6"/>
    </row>
    <row r="44" spans="1:19" ht="12.75" hidden="1">
      <c r="A44" s="124"/>
      <c r="B44" s="174"/>
      <c r="C44" s="127"/>
      <c r="D44" s="127"/>
      <c r="E44" s="127"/>
      <c r="F44" s="128"/>
      <c r="G44" s="127"/>
      <c r="H44" s="129">
        <f>MAX(DATOS!$M$34:$M$35)</f>
        <v>0</v>
      </c>
      <c r="I44" s="130" t="s">
        <v>17</v>
      </c>
      <c r="J44" s="129"/>
      <c r="K44" s="568">
        <f>K43*H44/100</f>
        <v>0</v>
      </c>
      <c r="L44" s="569"/>
      <c r="M44" s="6"/>
      <c r="R44" s="6"/>
      <c r="S44" s="6"/>
    </row>
    <row r="45" spans="1:19" ht="12.75" customHeight="1">
      <c r="A45" s="124"/>
      <c r="B45" s="593" t="s">
        <v>39</v>
      </c>
      <c r="C45" s="594"/>
      <c r="D45" s="594"/>
      <c r="E45" s="594"/>
      <c r="F45" s="594"/>
      <c r="G45" s="594"/>
      <c r="H45" s="594"/>
      <c r="I45" s="594"/>
      <c r="J45" s="594"/>
      <c r="K45" s="594"/>
      <c r="L45" s="595"/>
      <c r="M45" s="6"/>
      <c r="N45" s="162"/>
      <c r="O45" s="6"/>
      <c r="P45" s="6"/>
      <c r="Q45" s="6"/>
      <c r="R45" s="6"/>
      <c r="S45" s="6"/>
    </row>
    <row r="46" spans="1:19" ht="12.75">
      <c r="A46" s="124"/>
      <c r="B46" s="175"/>
      <c r="C46" s="143"/>
      <c r="D46" s="144" t="s">
        <v>40</v>
      </c>
      <c r="E46" s="145"/>
      <c r="F46" s="144">
        <f>DATOS!$N$37</f>
        <v>8</v>
      </c>
      <c r="G46" s="145"/>
      <c r="H46" s="145"/>
      <c r="I46" s="146"/>
      <c r="J46" s="145"/>
      <c r="K46" s="147"/>
      <c r="L46" s="176"/>
      <c r="M46" s="6"/>
      <c r="N46" s="55" t="s">
        <v>67</v>
      </c>
      <c r="O46" s="156"/>
      <c r="P46" s="580">
        <f>DATOS!$Q$59</f>
        <v>0</v>
      </c>
      <c r="Q46" s="581"/>
      <c r="R46" s="6"/>
      <c r="S46" s="6"/>
    </row>
    <row r="47" spans="1:19" ht="12.75">
      <c r="A47" s="60"/>
      <c r="B47" s="170"/>
      <c r="C47" s="115"/>
      <c r="D47" s="113" t="s">
        <v>38</v>
      </c>
      <c r="E47" s="113"/>
      <c r="F47" s="118">
        <f>IF($H$50=0,0,'Tablas honorarios'!$C$67)</f>
        <v>0</v>
      </c>
      <c r="G47" s="113"/>
      <c r="H47" s="107"/>
      <c r="I47" s="113"/>
      <c r="J47" s="117"/>
      <c r="K47" s="560">
        <f>IF($H$50=0,0,'Tablas honorarios'!$D$67)</f>
        <v>0</v>
      </c>
      <c r="L47" s="561"/>
      <c r="M47" s="6"/>
      <c r="N47" s="72" t="s">
        <v>65</v>
      </c>
      <c r="O47" s="73"/>
      <c r="P47" s="578">
        <f>DATOS!$Q$60</f>
        <v>0</v>
      </c>
      <c r="Q47" s="579"/>
      <c r="R47" s="6"/>
      <c r="S47" s="6"/>
    </row>
    <row r="48" spans="1:19" ht="12.75">
      <c r="A48" s="120"/>
      <c r="B48" s="170"/>
      <c r="C48" s="115"/>
      <c r="D48" s="113" t="s">
        <v>34</v>
      </c>
      <c r="E48" s="113"/>
      <c r="F48" s="118">
        <f>IF($H$50=0,0,'Tablas honorarios'!$C$68)</f>
        <v>0</v>
      </c>
      <c r="G48" s="107" t="s">
        <v>35</v>
      </c>
      <c r="H48" s="123">
        <f>IF($H$50=0,0,'Tablas honorarios'!$E$68)</f>
        <v>0</v>
      </c>
      <c r="I48" s="113" t="s">
        <v>17</v>
      </c>
      <c r="J48" s="117"/>
      <c r="K48" s="564">
        <f>F48*H48/100</f>
        <v>0</v>
      </c>
      <c r="L48" s="565"/>
      <c r="M48" s="6"/>
      <c r="N48" s="574" t="s">
        <v>202</v>
      </c>
      <c r="O48" s="575"/>
      <c r="P48" s="576">
        <f>DATOS!Q61</f>
        <v>0</v>
      </c>
      <c r="Q48" s="577"/>
      <c r="R48" s="6"/>
      <c r="S48" s="6"/>
    </row>
    <row r="49" spans="1:19" ht="12.75">
      <c r="A49" s="6"/>
      <c r="B49" s="168"/>
      <c r="C49" s="148"/>
      <c r="D49" s="148"/>
      <c r="E49" s="148"/>
      <c r="F49" s="117"/>
      <c r="G49" s="114"/>
      <c r="H49" s="107"/>
      <c r="I49" s="114"/>
      <c r="J49" s="117" t="s">
        <v>22</v>
      </c>
      <c r="K49" s="566">
        <f>K48+K47</f>
        <v>0</v>
      </c>
      <c r="L49" s="567"/>
      <c r="M49" s="60"/>
      <c r="N49" s="211"/>
      <c r="O49" s="212"/>
      <c r="P49" s="582">
        <f>SUM(P46:Q48)</f>
        <v>0</v>
      </c>
      <c r="Q49" s="583"/>
      <c r="R49" s="6"/>
      <c r="S49" s="6"/>
    </row>
    <row r="50" spans="1:19" ht="12.75">
      <c r="A50" s="6"/>
      <c r="B50" s="177"/>
      <c r="C50" s="149"/>
      <c r="D50" s="149"/>
      <c r="E50" s="149"/>
      <c r="F50" s="129"/>
      <c r="G50" s="130"/>
      <c r="H50" s="129">
        <f>MAX(DATOS!$M$38:$M$49)</f>
        <v>0</v>
      </c>
      <c r="I50" s="150" t="s">
        <v>17</v>
      </c>
      <c r="J50" s="129"/>
      <c r="K50" s="568">
        <f>K49*H50/100</f>
        <v>0</v>
      </c>
      <c r="L50" s="569"/>
      <c r="M50" s="60"/>
      <c r="N50" s="74" t="s">
        <v>66</v>
      </c>
      <c r="O50" s="75"/>
      <c r="P50" s="570">
        <f>DATOS!$Q$62</f>
        <v>0</v>
      </c>
      <c r="Q50" s="571"/>
      <c r="R50" s="6"/>
      <c r="S50" s="6"/>
    </row>
    <row r="51" spans="1:19" ht="12.75" customHeight="1">
      <c r="A51" s="120"/>
      <c r="B51" s="593" t="s">
        <v>41</v>
      </c>
      <c r="C51" s="594"/>
      <c r="D51" s="594"/>
      <c r="E51" s="594"/>
      <c r="F51" s="594"/>
      <c r="G51" s="594"/>
      <c r="H51" s="594"/>
      <c r="I51" s="594"/>
      <c r="J51" s="594"/>
      <c r="K51" s="594"/>
      <c r="L51" s="595"/>
      <c r="M51" s="6"/>
      <c r="N51" s="213" t="s">
        <v>22</v>
      </c>
      <c r="O51" s="214"/>
      <c r="P51" s="572">
        <f>SUM(P49:Q50)</f>
        <v>0</v>
      </c>
      <c r="Q51" s="573"/>
      <c r="R51" s="6"/>
      <c r="S51" s="6"/>
    </row>
    <row r="52" spans="1:19" ht="12.75">
      <c r="A52" s="120"/>
      <c r="B52" s="178"/>
      <c r="C52" s="110"/>
      <c r="D52" s="111">
        <f>IF(DATOS!$M$50&gt;0,DATOS!$E$50,IF(DATOS!$M$51&gt;0,DATOS!$E$51,IF(DATOS!$M$52&gt;0,DATOS!$E$52,IF(DATOS!$M$53&gt;0,DATOS!$E$53,0))))</f>
        <v>0</v>
      </c>
      <c r="E52" s="151"/>
      <c r="F52" s="112"/>
      <c r="G52" s="110"/>
      <c r="H52" s="104"/>
      <c r="I52" s="109"/>
      <c r="J52" s="109"/>
      <c r="K52" s="152"/>
      <c r="L52" s="179"/>
      <c r="M52" s="6"/>
      <c r="N52" s="103"/>
      <c r="O52" s="6"/>
      <c r="P52" s="6"/>
      <c r="Q52" s="6"/>
      <c r="R52" s="6"/>
      <c r="S52" s="6"/>
    </row>
    <row r="53" spans="1:19" ht="12.75">
      <c r="A53" s="60"/>
      <c r="B53" s="170"/>
      <c r="C53" s="115"/>
      <c r="D53" s="113" t="s">
        <v>38</v>
      </c>
      <c r="E53" s="113"/>
      <c r="F53" s="118">
        <f>IF($H$56=0,0,'Tablas honorarios'!$C$78)</f>
        <v>0</v>
      </c>
      <c r="G53" s="113"/>
      <c r="H53" s="107"/>
      <c r="I53" s="113"/>
      <c r="J53" s="117"/>
      <c r="K53" s="560">
        <f>IF(DATOS!$M$50&gt;0,'Tablas honorarios'!$D$78,IF(DATOS!$M$51&gt;0,'Tablas honorarios'!$F$78,IF(DATOS!$M$52&gt;0,'Tablas honorarios'!$H$78,IF(DATOS!$M$53&gt;0,'Tablas honorarios'!$J$78,0))))</f>
        <v>0</v>
      </c>
      <c r="L53" s="561"/>
      <c r="M53" s="153"/>
      <c r="N53" s="103"/>
      <c r="O53" s="6"/>
      <c r="P53" s="6"/>
      <c r="Q53" s="6"/>
      <c r="R53" s="6"/>
      <c r="S53" s="6"/>
    </row>
    <row r="54" spans="1:19" ht="12.75">
      <c r="A54" s="120"/>
      <c r="B54" s="170"/>
      <c r="C54" s="115"/>
      <c r="D54" s="113" t="s">
        <v>34</v>
      </c>
      <c r="E54" s="113"/>
      <c r="F54" s="118">
        <f>IF($H$56=0,0,'Tablas honorarios'!$C$79)</f>
        <v>0</v>
      </c>
      <c r="G54" s="107" t="s">
        <v>35</v>
      </c>
      <c r="H54" s="118">
        <f>IF(DATOS!$M$50&gt;0,'Tablas honorarios'!$E$79,IF(DATOS!$M$51&gt;0,'Tablas honorarios'!$G$79,IF(DATOS!$M$52&gt;0,'Tablas honorarios'!$I$79,IF(DATOS!$M$53&gt;0,'Tablas honorarios'!$K$79,0))))</f>
        <v>0</v>
      </c>
      <c r="I54" s="113" t="s">
        <v>17</v>
      </c>
      <c r="J54" s="117"/>
      <c r="K54" s="564">
        <f>F54*H54/100</f>
        <v>0</v>
      </c>
      <c r="L54" s="565"/>
      <c r="M54" s="60"/>
      <c r="N54" s="162"/>
      <c r="O54" s="6"/>
      <c r="P54" s="6"/>
      <c r="Q54" s="6"/>
      <c r="R54" s="6"/>
      <c r="S54" s="6"/>
    </row>
    <row r="55" spans="1:19" ht="12.75">
      <c r="A55" s="6"/>
      <c r="B55" s="168"/>
      <c r="C55" s="148"/>
      <c r="D55" s="148"/>
      <c r="E55" s="148"/>
      <c r="F55" s="117"/>
      <c r="G55" s="114"/>
      <c r="H55" s="107"/>
      <c r="I55" s="114"/>
      <c r="J55" s="117" t="s">
        <v>22</v>
      </c>
      <c r="K55" s="566">
        <f>MAX((K54+K53),DATOS!$Q$50)</f>
        <v>0</v>
      </c>
      <c r="L55" s="567"/>
      <c r="M55" s="60"/>
      <c r="N55" s="162"/>
      <c r="O55" s="60"/>
      <c r="P55" s="60"/>
      <c r="Q55" s="60"/>
      <c r="R55" s="60"/>
      <c r="S55" s="6"/>
    </row>
    <row r="56" spans="2:18" s="6" customFormat="1" ht="12.75">
      <c r="B56" s="168"/>
      <c r="C56" s="148"/>
      <c r="D56" s="148"/>
      <c r="E56" s="148"/>
      <c r="F56" s="117"/>
      <c r="G56" s="114"/>
      <c r="H56" s="107">
        <f>MAX(DATOS!$M$50:$M$53)</f>
        <v>0</v>
      </c>
      <c r="I56" s="114" t="s">
        <v>17</v>
      </c>
      <c r="J56" s="117"/>
      <c r="K56" s="560">
        <f>K55*H56/100</f>
        <v>0</v>
      </c>
      <c r="L56" s="561"/>
      <c r="M56" s="7"/>
      <c r="O56" s="60"/>
      <c r="P56" s="60"/>
      <c r="Q56" s="60"/>
      <c r="R56" s="60"/>
    </row>
    <row r="57" spans="1:13" s="6" customFormat="1" ht="12.75">
      <c r="A57" s="120"/>
      <c r="B57" s="170"/>
      <c r="C57" s="115"/>
      <c r="D57" s="116">
        <f>IF(DATOS!$M$54&gt;0,DATOS!$E$54,IF(DATOS!$M$55&gt;0,DATOS!$E$55,0))</f>
        <v>0</v>
      </c>
      <c r="E57" s="154"/>
      <c r="F57" s="117"/>
      <c r="G57" s="115"/>
      <c r="H57" s="107"/>
      <c r="I57" s="114"/>
      <c r="J57" s="114"/>
      <c r="K57" s="155"/>
      <c r="L57" s="180"/>
      <c r="M57" s="7"/>
    </row>
    <row r="58" spans="1:13" s="6" customFormat="1" ht="12.75">
      <c r="A58" s="60"/>
      <c r="B58" s="170"/>
      <c r="C58" s="115"/>
      <c r="D58" s="113" t="s">
        <v>38</v>
      </c>
      <c r="E58" s="113"/>
      <c r="F58" s="118">
        <f>IF($H$61=0,0,'Tablas honorarios'!$C$78)</f>
        <v>0</v>
      </c>
      <c r="G58" s="113"/>
      <c r="H58" s="107"/>
      <c r="I58" s="113"/>
      <c r="J58" s="117"/>
      <c r="K58" s="560">
        <f>IF(DATOS!$M$54&gt;0,'Tablas honorarios'!$L$78,IF(DATOS!$M$55&gt;0,'Tablas honorarios'!$N$78,0))</f>
        <v>0</v>
      </c>
      <c r="L58" s="561"/>
      <c r="M58" s="153"/>
    </row>
    <row r="59" spans="1:19" ht="12.75">
      <c r="A59" s="120"/>
      <c r="B59" s="170"/>
      <c r="C59" s="115"/>
      <c r="D59" s="113" t="s">
        <v>34</v>
      </c>
      <c r="E59" s="113"/>
      <c r="F59" s="118">
        <f>IF($H$59=0,0,'Tablas honorarios'!$C$79)</f>
        <v>0</v>
      </c>
      <c r="G59" s="107" t="s">
        <v>35</v>
      </c>
      <c r="H59" s="118">
        <f>IF(DATOS!$M$54&gt;0,'Tablas honorarios'!$M$79,IF(DATOS!$M$55&gt;0,'Tablas honorarios'!$O$79,0))</f>
        <v>0</v>
      </c>
      <c r="I59" s="113" t="s">
        <v>17</v>
      </c>
      <c r="J59" s="117"/>
      <c r="K59" s="564">
        <f>F59*H59/100</f>
        <v>0</v>
      </c>
      <c r="L59" s="565"/>
      <c r="M59" s="60"/>
      <c r="R59" s="60"/>
      <c r="S59" s="6"/>
    </row>
    <row r="60" spans="1:19" ht="12.75">
      <c r="A60" s="6"/>
      <c r="B60" s="168"/>
      <c r="C60" s="148"/>
      <c r="D60" s="148"/>
      <c r="E60" s="148"/>
      <c r="F60" s="117"/>
      <c r="G60" s="114"/>
      <c r="H60" s="107"/>
      <c r="I60" s="114"/>
      <c r="J60" s="117" t="s">
        <v>22</v>
      </c>
      <c r="K60" s="566">
        <f>MAX((K59+K58),DATOS!$Q$54)</f>
        <v>0</v>
      </c>
      <c r="L60" s="567"/>
      <c r="M60" s="60"/>
      <c r="R60" s="60"/>
      <c r="S60" s="6"/>
    </row>
    <row r="61" spans="2:13" s="6" customFormat="1" ht="12.75" customHeight="1">
      <c r="B61" s="177"/>
      <c r="C61" s="149"/>
      <c r="D61" s="149"/>
      <c r="E61" s="149"/>
      <c r="F61" s="129"/>
      <c r="G61" s="130"/>
      <c r="H61" s="181">
        <f>MAX(DATOS!$M$54:$M$55)</f>
        <v>0</v>
      </c>
      <c r="I61" s="130" t="s">
        <v>17</v>
      </c>
      <c r="J61" s="129"/>
      <c r="K61" s="568">
        <f>K60*H61/100</f>
        <v>0</v>
      </c>
      <c r="L61" s="569"/>
      <c r="M61" s="7"/>
    </row>
    <row r="62" spans="3:18" s="6" customFormat="1" ht="12.75">
      <c r="C62" s="81"/>
      <c r="D62" s="81"/>
      <c r="E62" s="81"/>
      <c r="F62" s="56"/>
      <c r="H62" s="57"/>
      <c r="J62" s="56"/>
      <c r="K62" s="82"/>
      <c r="L62" s="60"/>
      <c r="M62" s="7"/>
      <c r="N62" s="60"/>
      <c r="O62" s="60"/>
      <c r="P62" s="60"/>
      <c r="Q62" s="60"/>
      <c r="R62" s="60"/>
    </row>
    <row r="63" spans="1:18" s="6" customFormat="1" ht="12.75">
      <c r="A63" s="73" t="s">
        <v>42</v>
      </c>
      <c r="B63" s="90" t="s">
        <v>43</v>
      </c>
      <c r="C63" s="157"/>
      <c r="D63" s="157"/>
      <c r="E63" s="157"/>
      <c r="F63" s="158"/>
      <c r="G63" s="60"/>
      <c r="H63" s="159"/>
      <c r="I63" s="60"/>
      <c r="J63" s="60"/>
      <c r="K63" s="160"/>
      <c r="L63" s="60"/>
      <c r="M63" s="161"/>
      <c r="N63" s="60"/>
      <c r="O63" s="60"/>
      <c r="P63" s="60"/>
      <c r="Q63" s="60"/>
      <c r="R63" s="60"/>
    </row>
    <row r="64" spans="1:19" ht="12.75">
      <c r="A64" s="120"/>
      <c r="B64" s="60"/>
      <c r="C64" s="60"/>
      <c r="D64" s="6" t="s">
        <v>79</v>
      </c>
      <c r="E64" s="60"/>
      <c r="F64" s="60"/>
      <c r="G64" s="562">
        <f>IF(OR(DATOS!M38&lt;&gt;"",DATOS!M39&lt;&gt;"",DATOS!M40&lt;&gt;"",DATOS!M41&lt;&gt;"",DATOS!M42&lt;&gt;""),$K$49,"")</f>
      </c>
      <c r="H64" s="562"/>
      <c r="I64" s="562"/>
      <c r="J64" s="287">
        <f>IF($K$49=0,0,$K$64/$K$49)</f>
        <v>0</v>
      </c>
      <c r="K64" s="578">
        <f>DATOS!$Q$38</f>
        <v>0</v>
      </c>
      <c r="L64" s="578"/>
      <c r="M64" s="6"/>
      <c r="N64" s="60"/>
      <c r="O64" s="60"/>
      <c r="P64" s="60"/>
      <c r="Q64" s="60"/>
      <c r="R64" s="60"/>
      <c r="S64" s="6"/>
    </row>
    <row r="65" spans="1:19" ht="12.75">
      <c r="A65" s="60"/>
      <c r="B65" s="60"/>
      <c r="C65" s="60"/>
      <c r="D65" s="73" t="s">
        <v>80</v>
      </c>
      <c r="E65" s="73"/>
      <c r="F65" s="82"/>
      <c r="G65" s="562"/>
      <c r="H65" s="562"/>
      <c r="I65" s="562"/>
      <c r="J65" s="57" t="s">
        <v>23</v>
      </c>
      <c r="K65" s="563">
        <f>$K$32+$K$38+$K$56+$K$61</f>
        <v>0</v>
      </c>
      <c r="L65" s="563"/>
      <c r="M65" s="6"/>
      <c r="N65" s="60"/>
      <c r="O65" s="60"/>
      <c r="P65" s="60"/>
      <c r="Q65" s="60"/>
      <c r="R65" s="60"/>
      <c r="S65" s="6"/>
    </row>
    <row r="66" spans="1:19" ht="12.75">
      <c r="A66" s="120"/>
      <c r="B66" s="60"/>
      <c r="C66" s="60"/>
      <c r="D66" s="73"/>
      <c r="E66" s="73"/>
      <c r="F66" s="82"/>
      <c r="G66" s="562"/>
      <c r="H66" s="562"/>
      <c r="I66" s="562"/>
      <c r="J66" s="89" t="s">
        <v>85</v>
      </c>
      <c r="K66" s="570">
        <f>K65+K64</f>
        <v>0</v>
      </c>
      <c r="L66" s="571"/>
      <c r="M66" s="6"/>
      <c r="N66" s="60"/>
      <c r="O66" s="60"/>
      <c r="P66" s="60"/>
      <c r="Q66" s="60"/>
      <c r="R66" s="60"/>
      <c r="S66" s="6"/>
    </row>
    <row r="67" spans="1:19" ht="12.75">
      <c r="A67" s="6"/>
      <c r="B67" s="6"/>
      <c r="C67" s="6"/>
      <c r="D67" s="6" t="s">
        <v>81</v>
      </c>
      <c r="E67" s="6"/>
      <c r="F67" s="60"/>
      <c r="G67" s="562">
        <f>IF(OR(DATOS!M43&lt;&gt;"",DATOS!M44&lt;&gt;""),$K$49,"")</f>
      </c>
      <c r="H67" s="562"/>
      <c r="I67" s="562"/>
      <c r="J67" s="287">
        <f>IF($K$49=0,0,$K$67/$K$49)</f>
        <v>0</v>
      </c>
      <c r="K67" s="580">
        <f>DATOS!$Q$43</f>
        <v>0</v>
      </c>
      <c r="L67" s="580"/>
      <c r="M67" s="6"/>
      <c r="N67" s="60"/>
      <c r="O67" s="60"/>
      <c r="P67" s="60"/>
      <c r="Q67" s="60"/>
      <c r="R67" s="60"/>
      <c r="S67" s="6"/>
    </row>
    <row r="68" spans="1:19" ht="12.75">
      <c r="A68" s="6"/>
      <c r="B68" s="6"/>
      <c r="C68" s="6"/>
      <c r="D68" s="6" t="s">
        <v>82</v>
      </c>
      <c r="E68" s="6"/>
      <c r="F68" s="56"/>
      <c r="G68" s="562">
        <f>IF(OR(DATOS!M45&lt;&gt;"",DATOS!M46&lt;&gt;"",DATOS!M47&lt;&gt;"",DATOS!M48&lt;&gt;"",DATOS!M49&lt;&gt;""),$K$49,"")</f>
      </c>
      <c r="H68" s="562"/>
      <c r="I68" s="562"/>
      <c r="J68" s="287">
        <f>IF($K$49=0,0,$K$68/($K$49*0.4))</f>
        <v>0</v>
      </c>
      <c r="K68" s="578">
        <f>DATOS!$Q$45</f>
        <v>0</v>
      </c>
      <c r="L68" s="578"/>
      <c r="M68" s="6"/>
      <c r="N68" s="60"/>
      <c r="O68" s="60"/>
      <c r="P68" s="60"/>
      <c r="Q68" s="60"/>
      <c r="R68" s="60"/>
      <c r="S68" s="6"/>
    </row>
    <row r="69" spans="1:19" ht="12.75">
      <c r="A69" s="6"/>
      <c r="B69" s="6"/>
      <c r="C69" s="6"/>
      <c r="D69" s="73" t="s">
        <v>83</v>
      </c>
      <c r="E69" s="6"/>
      <c r="F69" s="56"/>
      <c r="G69" s="6"/>
      <c r="H69" s="57"/>
      <c r="I69" s="6"/>
      <c r="J69" s="84" t="s">
        <v>23</v>
      </c>
      <c r="K69" s="563">
        <f>IF(OR(DATOS!$M$34&gt;0,DATOS!$M$35&gt;0),$K$44,0)</f>
        <v>0</v>
      </c>
      <c r="L69" s="563"/>
      <c r="M69" s="60"/>
      <c r="N69" s="60"/>
      <c r="O69" s="60"/>
      <c r="P69" s="60"/>
      <c r="Q69" s="60"/>
      <c r="R69" s="60"/>
      <c r="S69" s="6"/>
    </row>
    <row r="70" spans="1:19" ht="12.75">
      <c r="A70" s="6"/>
      <c r="B70" s="6"/>
      <c r="C70" s="6"/>
      <c r="D70" s="6"/>
      <c r="E70" s="6"/>
      <c r="F70" s="56"/>
      <c r="G70" s="6"/>
      <c r="H70" s="57"/>
      <c r="I70" s="6"/>
      <c r="J70" s="89" t="s">
        <v>86</v>
      </c>
      <c r="K70" s="570">
        <f>K69+K68+K67</f>
        <v>0</v>
      </c>
      <c r="L70" s="571"/>
      <c r="M70" s="60"/>
      <c r="N70" s="6"/>
      <c r="O70" s="6"/>
      <c r="P70" s="6"/>
      <c r="Q70" s="6"/>
      <c r="R70" s="6"/>
      <c r="S70" s="6"/>
    </row>
    <row r="71" spans="1:19" ht="12.75">
      <c r="A71" s="6"/>
      <c r="B71" s="6"/>
      <c r="C71" s="6"/>
      <c r="D71" s="6"/>
      <c r="E71" s="6"/>
      <c r="F71" s="56"/>
      <c r="G71" s="6"/>
      <c r="H71" s="57"/>
      <c r="I71" s="6"/>
      <c r="J71" s="57"/>
      <c r="K71" s="82"/>
      <c r="L71" s="56"/>
      <c r="M71" s="60"/>
      <c r="N71" s="6"/>
      <c r="O71" s="6"/>
      <c r="P71" s="6"/>
      <c r="Q71" s="6"/>
      <c r="R71" s="6"/>
      <c r="S71" s="6"/>
    </row>
    <row r="72" spans="2:18" s="6" customFormat="1" ht="13.5" thickBot="1">
      <c r="B72" s="621" t="s">
        <v>84</v>
      </c>
      <c r="C72" s="621"/>
      <c r="D72" s="621"/>
      <c r="E72" s="621"/>
      <c r="F72" s="621"/>
      <c r="G72" s="621"/>
      <c r="H72" s="621"/>
      <c r="I72" s="622"/>
      <c r="J72" s="89" t="s">
        <v>87</v>
      </c>
      <c r="K72" s="626">
        <f>K70+K66</f>
        <v>0</v>
      </c>
      <c r="L72" s="627"/>
      <c r="N72" s="631" t="s">
        <v>73</v>
      </c>
      <c r="O72" s="631"/>
      <c r="P72" s="631"/>
      <c r="Q72" s="631"/>
      <c r="R72" s="631"/>
    </row>
    <row r="73" spans="1:19" ht="13.5" customHeight="1" thickBot="1">
      <c r="A73" s="6"/>
      <c r="B73" s="623" t="s">
        <v>62</v>
      </c>
      <c r="C73" s="623"/>
      <c r="D73" s="623"/>
      <c r="E73" s="623"/>
      <c r="F73" s="623"/>
      <c r="G73" s="623"/>
      <c r="H73" s="623"/>
      <c r="I73" s="624"/>
      <c r="J73" s="628">
        <f>DATOS!$Q$58</f>
        <v>0</v>
      </c>
      <c r="K73" s="629"/>
      <c r="L73" s="630"/>
      <c r="M73" s="6"/>
      <c r="N73" s="632" t="s">
        <v>44</v>
      </c>
      <c r="O73" s="632"/>
      <c r="P73" s="632"/>
      <c r="Q73" s="632"/>
      <c r="R73" s="632"/>
      <c r="S73" s="6"/>
    </row>
    <row r="74" spans="14:17" ht="12" customHeight="1">
      <c r="N74"/>
      <c r="O74"/>
      <c r="P74"/>
      <c r="Q74"/>
    </row>
    <row r="78" ht="25.5" customHeight="1"/>
  </sheetData>
  <sheetProtection password="CC69" sheet="1" selectLockedCells="1" selectUnlockedCells="1"/>
  <mergeCells count="91">
    <mergeCell ref="B7:D7"/>
    <mergeCell ref="A1:F1"/>
    <mergeCell ref="A2:F2"/>
    <mergeCell ref="A3:F3"/>
    <mergeCell ref="H10:R10"/>
    <mergeCell ref="E7:R7"/>
    <mergeCell ref="M1:R3"/>
    <mergeCell ref="B5:J5"/>
    <mergeCell ref="D6:J6"/>
    <mergeCell ref="B6:C6"/>
    <mergeCell ref="N72:R72"/>
    <mergeCell ref="N73:R73"/>
    <mergeCell ref="L6:R6"/>
    <mergeCell ref="M5:O5"/>
    <mergeCell ref="P5:R5"/>
    <mergeCell ref="K5:L5"/>
    <mergeCell ref="K61:L61"/>
    <mergeCell ref="K70:L70"/>
    <mergeCell ref="K66:L66"/>
    <mergeCell ref="K54:L54"/>
    <mergeCell ref="K68:L68"/>
    <mergeCell ref="J73:L73"/>
    <mergeCell ref="K67:L67"/>
    <mergeCell ref="K69:L69"/>
    <mergeCell ref="B45:L45"/>
    <mergeCell ref="K55:L55"/>
    <mergeCell ref="G64:I64"/>
    <mergeCell ref="K47:L47"/>
    <mergeCell ref="K48:L48"/>
    <mergeCell ref="K32:L32"/>
    <mergeCell ref="B72:I72"/>
    <mergeCell ref="B73:I73"/>
    <mergeCell ref="K64:L64"/>
    <mergeCell ref="N22:R22"/>
    <mergeCell ref="K49:L49"/>
    <mergeCell ref="K50:L50"/>
    <mergeCell ref="B51:L51"/>
    <mergeCell ref="K27:L27"/>
    <mergeCell ref="K72:L72"/>
    <mergeCell ref="K38:L38"/>
    <mergeCell ref="K29:L29"/>
    <mergeCell ref="B33:L33"/>
    <mergeCell ref="K25:L25"/>
    <mergeCell ref="K35:L35"/>
    <mergeCell ref="B39:L39"/>
    <mergeCell ref="K30:L30"/>
    <mergeCell ref="K37:L37"/>
    <mergeCell ref="K26:L26"/>
    <mergeCell ref="K36:L36"/>
    <mergeCell ref="K31:L31"/>
    <mergeCell ref="G13:J13"/>
    <mergeCell ref="L13:R13"/>
    <mergeCell ref="K28:L28"/>
    <mergeCell ref="B18:E18"/>
    <mergeCell ref="G17:J17"/>
    <mergeCell ref="B15:E15"/>
    <mergeCell ref="K23:L23"/>
    <mergeCell ref="B13:E13"/>
    <mergeCell ref="K24:L24"/>
    <mergeCell ref="B19:J19"/>
    <mergeCell ref="G18:J18"/>
    <mergeCell ref="P49:Q49"/>
    <mergeCell ref="B14:E14"/>
    <mergeCell ref="B17:E17"/>
    <mergeCell ref="B16:E16"/>
    <mergeCell ref="F28:J28"/>
    <mergeCell ref="G14:J14"/>
    <mergeCell ref="G15:J15"/>
    <mergeCell ref="G16:J16"/>
    <mergeCell ref="B22:L22"/>
    <mergeCell ref="L14:R19"/>
    <mergeCell ref="K43:L43"/>
    <mergeCell ref="K53:L53"/>
    <mergeCell ref="K44:L44"/>
    <mergeCell ref="G67:I67"/>
    <mergeCell ref="P50:Q50"/>
    <mergeCell ref="P51:Q51"/>
    <mergeCell ref="N48:O48"/>
    <mergeCell ref="P48:Q48"/>
    <mergeCell ref="P47:Q47"/>
    <mergeCell ref="P46:Q46"/>
    <mergeCell ref="K41:L41"/>
    <mergeCell ref="G68:I68"/>
    <mergeCell ref="G65:I65"/>
    <mergeCell ref="G66:I66"/>
    <mergeCell ref="K65:L65"/>
    <mergeCell ref="K58:L58"/>
    <mergeCell ref="K59:L59"/>
    <mergeCell ref="K60:L60"/>
    <mergeCell ref="K56:L56"/>
    <mergeCell ref="K42:L42"/>
  </mergeCells>
  <printOptions/>
  <pageMargins left="0.3937007874015748" right="0.1968503937007874" top="0.1968503937007874" bottom="0.1968503937007874" header="0" footer="0"/>
  <pageSetup fitToHeight="1" fitToWidth="1"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"/>
  <sheetViews>
    <sheetView zoomScalePageLayoutView="0" workbookViewId="0" topLeftCell="A1">
      <selection activeCell="A32" sqref="A32"/>
    </sheetView>
  </sheetViews>
  <sheetFormatPr defaultColWidth="11.421875" defaultRowHeight="12.75"/>
  <cols>
    <col min="1" max="1" width="96.57421875" style="0" customWidth="1"/>
  </cols>
  <sheetData>
    <row r="1" ht="12.75">
      <c r="A1" s="182" t="s">
        <v>129</v>
      </c>
    </row>
    <row r="2" ht="12.75">
      <c r="A2" s="183"/>
    </row>
    <row r="3" ht="14.25">
      <c r="A3" s="182" t="s">
        <v>130</v>
      </c>
    </row>
    <row r="4" ht="12.75">
      <c r="A4" s="182"/>
    </row>
    <row r="5" ht="12.75">
      <c r="A5" s="182" t="s">
        <v>131</v>
      </c>
    </row>
    <row r="6" ht="12.75">
      <c r="A6" s="184" t="s">
        <v>132</v>
      </c>
    </row>
    <row r="7" ht="12.75">
      <c r="A7" s="184" t="s">
        <v>133</v>
      </c>
    </row>
    <row r="8" ht="12.75">
      <c r="A8" s="184"/>
    </row>
    <row r="9" ht="12.75">
      <c r="A9" s="182" t="s">
        <v>134</v>
      </c>
    </row>
    <row r="10" ht="12.75">
      <c r="A10" s="182"/>
    </row>
    <row r="11" ht="12.75">
      <c r="A11" s="185"/>
    </row>
    <row r="13" ht="12.75">
      <c r="A13" s="186" t="s">
        <v>135</v>
      </c>
    </row>
    <row r="15" ht="12.75">
      <c r="A15" s="187"/>
    </row>
    <row r="16" ht="14.25">
      <c r="A16" s="186" t="s">
        <v>136</v>
      </c>
    </row>
    <row r="17" ht="12.75">
      <c r="A17" s="186"/>
    </row>
    <row r="18" ht="12.75">
      <c r="A18" s="186" t="s">
        <v>137</v>
      </c>
    </row>
    <row r="19" ht="12.75">
      <c r="A19" s="186" t="s">
        <v>138</v>
      </c>
    </row>
    <row r="20" ht="12.75">
      <c r="A20" s="186" t="s">
        <v>139</v>
      </c>
    </row>
    <row r="22" ht="12.75">
      <c r="A22" s="185"/>
    </row>
    <row r="24" ht="12.75">
      <c r="A24" s="188" t="s">
        <v>129</v>
      </c>
    </row>
    <row r="26" ht="12.75">
      <c r="A26" s="188" t="s">
        <v>140</v>
      </c>
    </row>
    <row r="27" ht="12.75">
      <c r="A27" s="188"/>
    </row>
    <row r="28" ht="12.75">
      <c r="A28" s="188" t="s">
        <v>141</v>
      </c>
    </row>
    <row r="29" ht="12.75">
      <c r="A29" s="189" t="s">
        <v>133</v>
      </c>
    </row>
    <row r="30" ht="12.75">
      <c r="A30" s="188"/>
    </row>
    <row r="31" ht="12.75">
      <c r="A31" s="188" t="s">
        <v>142</v>
      </c>
    </row>
    <row r="32" ht="12.75">
      <c r="A32" s="188" t="s">
        <v>143</v>
      </c>
    </row>
    <row r="33" ht="12.75">
      <c r="A33" s="188" t="s">
        <v>144</v>
      </c>
    </row>
    <row r="34" ht="12.75">
      <c r="A34" s="188" t="s">
        <v>145</v>
      </c>
    </row>
    <row r="35" ht="12.75">
      <c r="A35" s="188" t="s">
        <v>146</v>
      </c>
    </row>
    <row r="36" ht="12.75">
      <c r="A36" s="188" t="s">
        <v>147</v>
      </c>
    </row>
    <row r="38" ht="12.75">
      <c r="A38" s="185"/>
    </row>
    <row r="40" ht="12.75">
      <c r="A40" s="190" t="s">
        <v>135</v>
      </c>
    </row>
    <row r="41" ht="12.75">
      <c r="A41" s="190"/>
    </row>
    <row r="42" ht="12.75">
      <c r="A42" s="190" t="s">
        <v>148</v>
      </c>
    </row>
    <row r="43" ht="12.75">
      <c r="A43" s="190"/>
    </row>
    <row r="44" ht="12.75">
      <c r="A44" s="190" t="s">
        <v>149</v>
      </c>
    </row>
    <row r="45" ht="12.75">
      <c r="A45" s="191" t="s">
        <v>150</v>
      </c>
    </row>
    <row r="46" ht="12.75">
      <c r="A46" s="191" t="s">
        <v>151</v>
      </c>
    </row>
    <row r="47" ht="12.75">
      <c r="A47" s="190"/>
    </row>
    <row r="48" ht="12.75">
      <c r="A48" s="190" t="s">
        <v>152</v>
      </c>
    </row>
    <row r="49" ht="12.75">
      <c r="A49" s="190" t="s">
        <v>153</v>
      </c>
    </row>
    <row r="50" ht="12.75">
      <c r="A50" s="190" t="s">
        <v>154</v>
      </c>
    </row>
    <row r="51" ht="12.75">
      <c r="A51" s="192" t="s">
        <v>155</v>
      </c>
    </row>
    <row r="52" ht="12.75">
      <c r="A52" s="192"/>
    </row>
    <row r="53" ht="12.75">
      <c r="A53" s="192"/>
    </row>
    <row r="54" ht="12.75">
      <c r="A54" s="192" t="s">
        <v>141</v>
      </c>
    </row>
    <row r="55" ht="12.75">
      <c r="A55" s="193" t="s">
        <v>133</v>
      </c>
    </row>
    <row r="56" ht="12.75">
      <c r="A56" s="192"/>
    </row>
    <row r="57" ht="12.75">
      <c r="A57" s="192" t="s">
        <v>156</v>
      </c>
    </row>
    <row r="58" ht="12.75">
      <c r="A58" s="192" t="s">
        <v>157</v>
      </c>
    </row>
    <row r="59" ht="12.75">
      <c r="A59" s="192" t="s">
        <v>158</v>
      </c>
    </row>
    <row r="60" ht="12.75">
      <c r="A60" s="192" t="s">
        <v>159</v>
      </c>
    </row>
    <row r="61" ht="12.75">
      <c r="A61" s="192" t="s">
        <v>160</v>
      </c>
    </row>
    <row r="62" ht="12.75">
      <c r="A62" s="192" t="s">
        <v>161</v>
      </c>
    </row>
    <row r="63" ht="12.75">
      <c r="A63" s="192" t="s">
        <v>162</v>
      </c>
    </row>
    <row r="65" ht="12.75">
      <c r="A65" s="185"/>
    </row>
    <row r="66" ht="12.75">
      <c r="A66" s="194" t="s">
        <v>129</v>
      </c>
    </row>
    <row r="67" ht="12.75">
      <c r="A67" s="194"/>
    </row>
    <row r="68" ht="12.75">
      <c r="A68" s="194" t="s">
        <v>163</v>
      </c>
    </row>
    <row r="69" ht="12.75">
      <c r="A69" s="194"/>
    </row>
    <row r="70" ht="12.75">
      <c r="A70" s="194" t="s">
        <v>141</v>
      </c>
    </row>
    <row r="71" ht="12.75">
      <c r="A71" s="195" t="s">
        <v>133</v>
      </c>
    </row>
    <row r="72" ht="12.75">
      <c r="A72" s="194"/>
    </row>
    <row r="73" ht="12.75">
      <c r="A73" s="194" t="s">
        <v>164</v>
      </c>
    </row>
    <row r="74" ht="12.75">
      <c r="A74" s="194" t="s">
        <v>165</v>
      </c>
    </row>
    <row r="75" ht="12.75">
      <c r="A75" s="194" t="s">
        <v>166</v>
      </c>
    </row>
    <row r="76" ht="12.75">
      <c r="A76" s="194" t="s">
        <v>167</v>
      </c>
    </row>
    <row r="77" ht="12.75">
      <c r="A77" s="194" t="s">
        <v>168</v>
      </c>
    </row>
    <row r="78" ht="12.75">
      <c r="A78" s="194" t="s">
        <v>169</v>
      </c>
    </row>
    <row r="79" ht="12.75">
      <c r="A79" s="194" t="s">
        <v>170</v>
      </c>
    </row>
    <row r="80" ht="12.75">
      <c r="A80" s="194" t="s">
        <v>171</v>
      </c>
    </row>
    <row r="82" ht="12.75">
      <c r="A82" s="185"/>
    </row>
    <row r="83" ht="12.75">
      <c r="A83" s="196" t="s">
        <v>135</v>
      </c>
    </row>
    <row r="85" ht="12.75">
      <c r="A85" s="196" t="s">
        <v>163</v>
      </c>
    </row>
    <row r="86" ht="12.75">
      <c r="A86" s="196"/>
    </row>
    <row r="87" ht="12.75">
      <c r="A87" s="196"/>
    </row>
    <row r="88" ht="12.75">
      <c r="A88" s="196" t="s">
        <v>149</v>
      </c>
    </row>
    <row r="89" ht="12.75">
      <c r="A89" s="197" t="s">
        <v>150</v>
      </c>
    </row>
    <row r="90" ht="12.75">
      <c r="A90" s="197" t="s">
        <v>151</v>
      </c>
    </row>
    <row r="91" ht="12.75">
      <c r="A91" s="196"/>
    </row>
    <row r="92" ht="12.75">
      <c r="A92" s="196" t="s">
        <v>172</v>
      </c>
    </row>
    <row r="93" ht="12.75">
      <c r="A93" s="196" t="s">
        <v>173</v>
      </c>
    </row>
    <row r="94" ht="12.75">
      <c r="A94" s="196" t="s">
        <v>174</v>
      </c>
    </row>
    <row r="96" ht="12.75">
      <c r="A96" s="185"/>
    </row>
    <row r="98" ht="12.75">
      <c r="A98" s="198" t="s">
        <v>175</v>
      </c>
    </row>
    <row r="99" ht="12.75">
      <c r="A99" s="199"/>
    </row>
    <row r="100" ht="12.75">
      <c r="A100" s="198" t="s">
        <v>176</v>
      </c>
    </row>
  </sheetData>
  <sheetProtection password="CCDD" sheet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0" zoomScaleNormal="70" zoomScalePageLayoutView="0" workbookViewId="0" topLeftCell="A1">
      <selection activeCell="Z86" sqref="Z86"/>
    </sheetView>
  </sheetViews>
  <sheetFormatPr defaultColWidth="11.421875" defaultRowHeight="12.75"/>
  <sheetData/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86"/>
  <sheetViews>
    <sheetView zoomScale="90" zoomScaleNormal="90" zoomScalePageLayoutView="0" workbookViewId="0" topLeftCell="A1">
      <selection activeCell="K13" sqref="K13"/>
    </sheetView>
  </sheetViews>
  <sheetFormatPr defaultColWidth="11.421875" defaultRowHeight="12.75"/>
  <cols>
    <col min="1" max="1" width="14.57421875" style="0" customWidth="1"/>
    <col min="2" max="2" width="12.7109375" style="12" customWidth="1"/>
    <col min="3" max="3" width="12.00390625" style="12" customWidth="1"/>
    <col min="4" max="4" width="19.00390625" style="10" customWidth="1"/>
    <col min="5" max="5" width="6.7109375" style="8" customWidth="1"/>
    <col min="6" max="6" width="12.57421875" style="10" bestFit="1" customWidth="1"/>
    <col min="7" max="7" width="17.140625" style="8" bestFit="1" customWidth="1"/>
    <col min="8" max="8" width="12.57421875" style="10" bestFit="1" customWidth="1"/>
    <col min="9" max="9" width="6.7109375" style="8" customWidth="1"/>
    <col min="10" max="10" width="12.57421875" style="10" bestFit="1" customWidth="1"/>
    <col min="11" max="11" width="13.28125" style="8" bestFit="1" customWidth="1"/>
    <col min="12" max="12" width="12.57421875" style="10" bestFit="1" customWidth="1"/>
    <col min="13" max="13" width="13.7109375" style="8" customWidth="1"/>
    <col min="14" max="14" width="12.57421875" style="10" bestFit="1" customWidth="1"/>
    <col min="15" max="15" width="6.7109375" style="8" customWidth="1"/>
    <col min="16" max="16" width="12.57421875" style="10" bestFit="1" customWidth="1"/>
    <col min="17" max="17" width="7.8515625" style="8" customWidth="1"/>
    <col min="18" max="18" width="12.57421875" style="10" bestFit="1" customWidth="1"/>
    <col min="19" max="19" width="7.8515625" style="8" customWidth="1"/>
    <col min="20" max="20" width="12.57421875" style="10" bestFit="1" customWidth="1"/>
    <col min="21" max="21" width="7.8515625" style="8" customWidth="1"/>
    <col min="22" max="22" width="12.57421875" style="10" bestFit="1" customWidth="1"/>
    <col min="23" max="23" width="7.8515625" style="8" customWidth="1"/>
  </cols>
  <sheetData>
    <row r="1" spans="1:13" ht="12.75">
      <c r="A1" s="647" t="s">
        <v>181</v>
      </c>
      <c r="B1" s="647"/>
      <c r="C1" s="288">
        <v>11150</v>
      </c>
      <c r="F1" s="294" t="s">
        <v>204</v>
      </c>
      <c r="M1" s="295">
        <v>22300</v>
      </c>
    </row>
    <row r="2" spans="1:23" ht="12.75">
      <c r="A2" s="647" t="s">
        <v>182</v>
      </c>
      <c r="B2" s="647"/>
      <c r="C2" s="289">
        <v>2.23</v>
      </c>
      <c r="D2" s="9"/>
      <c r="E2" s="21"/>
      <c r="F2" s="294" t="s">
        <v>206</v>
      </c>
      <c r="G2" s="21"/>
      <c r="H2" s="9"/>
      <c r="I2" s="21"/>
      <c r="J2" s="9"/>
      <c r="K2" s="21"/>
      <c r="L2" s="9"/>
      <c r="M2" s="296">
        <v>35680</v>
      </c>
      <c r="N2" s="9"/>
      <c r="O2" s="21"/>
      <c r="P2" s="9"/>
      <c r="Q2" s="21"/>
      <c r="R2" s="9"/>
      <c r="S2" s="21"/>
      <c r="T2" s="9"/>
      <c r="U2" s="21"/>
      <c r="V2" s="9"/>
      <c r="W2" s="21"/>
    </row>
    <row r="3" spans="1:3" ht="12.75">
      <c r="A3" s="647" t="s">
        <v>184</v>
      </c>
      <c r="B3" s="648"/>
      <c r="C3" s="290">
        <v>1352</v>
      </c>
    </row>
    <row r="4" spans="1:3" ht="12.75">
      <c r="A4" s="48"/>
      <c r="B4" s="48"/>
      <c r="C4" s="261"/>
    </row>
    <row r="5" spans="1:3" ht="12.75">
      <c r="A5" s="262" t="s">
        <v>187</v>
      </c>
      <c r="C5" s="263">
        <v>600</v>
      </c>
    </row>
    <row r="6" spans="1:3" ht="12.75">
      <c r="A6" s="262" t="s">
        <v>188</v>
      </c>
      <c r="C6" s="263">
        <f>100*C5/2.5</f>
        <v>24000</v>
      </c>
    </row>
    <row r="7" spans="1:3" ht="12.75">
      <c r="A7" s="262"/>
      <c r="C7" s="264"/>
    </row>
    <row r="8" spans="1:3" ht="12.75">
      <c r="A8" s="262" t="s">
        <v>189</v>
      </c>
      <c r="C8" s="291">
        <v>1338</v>
      </c>
    </row>
    <row r="9" spans="1:3" ht="12.75">
      <c r="A9" s="262" t="s">
        <v>190</v>
      </c>
      <c r="C9" s="291">
        <v>2676</v>
      </c>
    </row>
    <row r="10" spans="1:3" ht="12.75">
      <c r="A10" s="262" t="s">
        <v>191</v>
      </c>
      <c r="C10" s="291">
        <v>2230</v>
      </c>
    </row>
    <row r="11" spans="1:3" ht="12.75">
      <c r="A11" s="262" t="s">
        <v>192</v>
      </c>
      <c r="C11" s="291">
        <v>12265</v>
      </c>
    </row>
    <row r="12" spans="1:3" ht="12.75">
      <c r="A12" s="262" t="s">
        <v>193</v>
      </c>
      <c r="C12" s="291">
        <v>4460</v>
      </c>
    </row>
    <row r="13" spans="1:11" ht="12.75">
      <c r="A13" s="262" t="s">
        <v>195</v>
      </c>
      <c r="C13" s="291">
        <v>20338</v>
      </c>
      <c r="D13" s="649" t="s">
        <v>210</v>
      </c>
      <c r="E13" s="650"/>
      <c r="F13" s="651"/>
      <c r="G13" s="313">
        <f>+C1*18182</f>
        <v>202729300</v>
      </c>
      <c r="H13" s="649" t="s">
        <v>211</v>
      </c>
      <c r="I13" s="650"/>
      <c r="J13" s="650"/>
      <c r="K13" s="317">
        <f>3833593*0.05</f>
        <v>191679.65000000002</v>
      </c>
    </row>
    <row r="14" spans="1:4" ht="12.75">
      <c r="A14" s="262"/>
      <c r="C14" s="265"/>
      <c r="D14" s="264"/>
    </row>
    <row r="15" spans="1:4" ht="12.75">
      <c r="A15" s="262" t="s">
        <v>194</v>
      </c>
      <c r="C15" s="266">
        <v>1.2</v>
      </c>
      <c r="D15" s="276" t="s">
        <v>63</v>
      </c>
    </row>
    <row r="16" spans="3:4" ht="12.75">
      <c r="C16" s="266">
        <v>1.2</v>
      </c>
      <c r="D16" s="276" t="s">
        <v>197</v>
      </c>
    </row>
    <row r="17" spans="1:3" ht="12.75">
      <c r="A17" s="262"/>
      <c r="C17" s="264"/>
    </row>
    <row r="18" spans="2:23" ht="13.5" thickBot="1">
      <c r="B18" s="11"/>
      <c r="C18" s="47">
        <v>1</v>
      </c>
      <c r="D18" s="47">
        <v>2</v>
      </c>
      <c r="E18" s="39">
        <v>3</v>
      </c>
      <c r="F18" s="9"/>
      <c r="G18" s="21"/>
      <c r="H18" s="9"/>
      <c r="I18" s="21"/>
      <c r="J18" s="9"/>
      <c r="K18" s="21"/>
      <c r="L18" s="9"/>
      <c r="M18" s="21"/>
      <c r="N18" s="9"/>
      <c r="O18" s="21"/>
      <c r="P18" s="9"/>
      <c r="Q18" s="21"/>
      <c r="R18" s="9"/>
      <c r="S18" s="21"/>
      <c r="T18" s="9"/>
      <c r="U18" s="21"/>
      <c r="V18" s="9"/>
      <c r="W18" s="21"/>
    </row>
    <row r="19" spans="1:5" ht="12.75">
      <c r="A19" t="s">
        <v>45</v>
      </c>
      <c r="B19" s="4">
        <v>0</v>
      </c>
      <c r="C19" s="32">
        <v>0</v>
      </c>
      <c r="D19" s="36">
        <v>0</v>
      </c>
      <c r="E19" s="25">
        <v>2</v>
      </c>
    </row>
    <row r="20" spans="1:5" ht="12.75">
      <c r="A20" t="s">
        <v>46</v>
      </c>
      <c r="B20" s="18">
        <v>100000</v>
      </c>
      <c r="C20" s="33">
        <f>B20*$C$2</f>
        <v>223000</v>
      </c>
      <c r="D20" s="37">
        <f>($C20-$C19)*E19/100+D19</f>
        <v>4460</v>
      </c>
      <c r="E20" s="26">
        <v>1.5</v>
      </c>
    </row>
    <row r="21" spans="2:5" ht="12.75">
      <c r="B21" s="18">
        <v>500000</v>
      </c>
      <c r="C21" s="33">
        <f>B21*$C$2</f>
        <v>1115000</v>
      </c>
      <c r="D21" s="37">
        <f>($C21-$C20)*E20/100+D20</f>
        <v>17840</v>
      </c>
      <c r="E21" s="26">
        <v>1</v>
      </c>
    </row>
    <row r="22" spans="1:5" ht="12.75">
      <c r="A22" s="48" t="s">
        <v>47</v>
      </c>
      <c r="B22" s="18">
        <v>1000000</v>
      </c>
      <c r="C22" s="33">
        <f>B22*$C$2</f>
        <v>2230000</v>
      </c>
      <c r="D22" s="37">
        <f>($C22-$C21)*E21/100+D21</f>
        <v>28990</v>
      </c>
      <c r="E22" s="26">
        <v>0.8</v>
      </c>
    </row>
    <row r="23" spans="2:5" ht="13.5" thickBot="1">
      <c r="B23" s="19">
        <v>10000000</v>
      </c>
      <c r="C23" s="34">
        <f>B23*$C$2</f>
        <v>22300000</v>
      </c>
      <c r="D23" s="43">
        <f>($C23-$C22)*E22/100+D22</f>
        <v>189550</v>
      </c>
      <c r="E23" s="27">
        <v>0.5</v>
      </c>
    </row>
    <row r="24" spans="3:5" ht="12.75">
      <c r="C24" s="16">
        <f>VLOOKUP(C26,_TT2,1,TRUE)</f>
        <v>0</v>
      </c>
      <c r="D24" s="13">
        <f>VLOOKUP($C24,_TT2,2,TRUE)</f>
        <v>0</v>
      </c>
      <c r="E24" s="22"/>
    </row>
    <row r="25" spans="3:5" ht="13.5" thickBot="1">
      <c r="C25" s="14">
        <f>C26-C24</f>
        <v>0</v>
      </c>
      <c r="D25" s="15">
        <f>$C25*E25/100</f>
        <v>0</v>
      </c>
      <c r="E25" s="23">
        <f>VLOOKUP($C24,_TT2,3,TRUE)</f>
        <v>2</v>
      </c>
    </row>
    <row r="26" spans="3:5" ht="13.5" thickBot="1">
      <c r="C26" s="20">
        <f>DATOS!$N$11</f>
        <v>0</v>
      </c>
      <c r="D26" s="17">
        <f>D25+D24</f>
        <v>0</v>
      </c>
      <c r="E26" s="24"/>
    </row>
    <row r="28" spans="4:15" ht="12.75">
      <c r="D28" s="50" t="s">
        <v>48</v>
      </c>
      <c r="E28" s="51"/>
      <c r="F28" s="50" t="s">
        <v>49</v>
      </c>
      <c r="G28" s="51"/>
      <c r="H28" s="50" t="s">
        <v>50</v>
      </c>
      <c r="I28" s="51"/>
      <c r="J28" s="50" t="s">
        <v>51</v>
      </c>
      <c r="K28" s="51"/>
      <c r="L28" s="50" t="s">
        <v>52</v>
      </c>
      <c r="M28" s="51"/>
      <c r="N28" s="50" t="s">
        <v>53</v>
      </c>
      <c r="O28" s="51"/>
    </row>
    <row r="29" spans="2:23" s="5" customFormat="1" ht="13.5" thickBot="1">
      <c r="B29" s="35"/>
      <c r="C29" s="40">
        <v>1</v>
      </c>
      <c r="D29" s="40">
        <v>2</v>
      </c>
      <c r="E29" s="40">
        <v>3</v>
      </c>
      <c r="F29" s="40">
        <v>4</v>
      </c>
      <c r="G29" s="40">
        <v>5</v>
      </c>
      <c r="H29" s="40">
        <v>6</v>
      </c>
      <c r="I29" s="40">
        <v>7</v>
      </c>
      <c r="J29" s="40">
        <v>8</v>
      </c>
      <c r="K29" s="40">
        <v>9</v>
      </c>
      <c r="L29" s="40">
        <v>10</v>
      </c>
      <c r="M29" s="40">
        <v>11</v>
      </c>
      <c r="N29" s="40">
        <v>12</v>
      </c>
      <c r="O29" s="40">
        <v>13</v>
      </c>
      <c r="P29" s="35"/>
      <c r="Q29" s="35"/>
      <c r="R29" s="35"/>
      <c r="S29" s="35"/>
      <c r="T29" s="35"/>
      <c r="U29" s="35"/>
      <c r="V29" s="35"/>
      <c r="W29" s="35"/>
    </row>
    <row r="30" spans="1:15" ht="12.75">
      <c r="A30" t="s">
        <v>8</v>
      </c>
      <c r="B30" s="4">
        <v>0</v>
      </c>
      <c r="C30" s="45">
        <v>0</v>
      </c>
      <c r="D30" s="36">
        <v>0</v>
      </c>
      <c r="E30" s="46">
        <v>0.5</v>
      </c>
      <c r="F30" s="36">
        <v>0</v>
      </c>
      <c r="G30" s="46">
        <v>1.5</v>
      </c>
      <c r="H30" s="36">
        <v>0</v>
      </c>
      <c r="I30" s="46">
        <v>2.5</v>
      </c>
      <c r="J30" s="36">
        <v>0</v>
      </c>
      <c r="K30" s="46">
        <v>5</v>
      </c>
      <c r="L30" s="36">
        <v>0</v>
      </c>
      <c r="M30" s="46">
        <v>7</v>
      </c>
      <c r="N30" s="36">
        <v>0</v>
      </c>
      <c r="O30" s="25">
        <v>10</v>
      </c>
    </row>
    <row r="31" spans="2:15" ht="12.75">
      <c r="B31" s="18">
        <v>100000</v>
      </c>
      <c r="C31" s="41">
        <f aca="true" t="shared" si="0" ref="C31:C36">B31*$C$2</f>
        <v>223000</v>
      </c>
      <c r="D31" s="37">
        <f>($C31-$C30)*E30/100+D30</f>
        <v>1115</v>
      </c>
      <c r="E31" s="38">
        <v>0.4</v>
      </c>
      <c r="F31" s="37">
        <f>($C31-$C30)*G30/100+F30</f>
        <v>3345</v>
      </c>
      <c r="G31" s="38">
        <v>1.25</v>
      </c>
      <c r="H31" s="37">
        <f>($C31-$C30)*I30/100+H30</f>
        <v>5575</v>
      </c>
      <c r="I31" s="38">
        <v>2.25</v>
      </c>
      <c r="J31" s="37">
        <f>($C31-$C30)*K30/100+J30</f>
        <v>11150</v>
      </c>
      <c r="K31" s="38">
        <v>4.5</v>
      </c>
      <c r="L31" s="37">
        <f>($C31-$C30)*M30/100+L30</f>
        <v>15610</v>
      </c>
      <c r="M31" s="38">
        <v>6</v>
      </c>
      <c r="N31" s="37">
        <f>($C31-$C30)*O30/100+N30</f>
        <v>22300</v>
      </c>
      <c r="O31" s="26">
        <v>8</v>
      </c>
    </row>
    <row r="32" spans="1:15" ht="12.75">
      <c r="A32" s="48" t="s">
        <v>54</v>
      </c>
      <c r="B32" s="18">
        <v>500000</v>
      </c>
      <c r="C32" s="41">
        <f t="shared" si="0"/>
        <v>1115000</v>
      </c>
      <c r="D32" s="37">
        <f aca="true" t="shared" si="1" ref="D32:N37">($C32-$C31)*E31/100+D31</f>
        <v>4683</v>
      </c>
      <c r="E32" s="38">
        <v>0.3</v>
      </c>
      <c r="F32" s="37">
        <f t="shared" si="1"/>
        <v>14495</v>
      </c>
      <c r="G32" s="38">
        <v>1</v>
      </c>
      <c r="H32" s="37">
        <f t="shared" si="1"/>
        <v>25645</v>
      </c>
      <c r="I32" s="38">
        <v>2</v>
      </c>
      <c r="J32" s="37">
        <f t="shared" si="1"/>
        <v>51290</v>
      </c>
      <c r="K32" s="38">
        <v>4</v>
      </c>
      <c r="L32" s="37">
        <f t="shared" si="1"/>
        <v>69130</v>
      </c>
      <c r="M32" s="38">
        <v>5</v>
      </c>
      <c r="N32" s="37">
        <f t="shared" si="1"/>
        <v>93660</v>
      </c>
      <c r="O32" s="26">
        <v>6</v>
      </c>
    </row>
    <row r="33" spans="2:15" ht="12.75">
      <c r="B33" s="18">
        <v>1000000</v>
      </c>
      <c r="C33" s="41">
        <f t="shared" si="0"/>
        <v>2230000</v>
      </c>
      <c r="D33" s="37">
        <f t="shared" si="1"/>
        <v>8028</v>
      </c>
      <c r="E33" s="38">
        <v>0.25</v>
      </c>
      <c r="F33" s="37">
        <f t="shared" si="1"/>
        <v>25645</v>
      </c>
      <c r="G33" s="38">
        <v>0.75</v>
      </c>
      <c r="H33" s="37">
        <f t="shared" si="1"/>
        <v>47945</v>
      </c>
      <c r="I33" s="38">
        <v>1.75</v>
      </c>
      <c r="J33" s="37">
        <f t="shared" si="1"/>
        <v>95890</v>
      </c>
      <c r="K33" s="38">
        <v>3.5</v>
      </c>
      <c r="L33" s="37">
        <f t="shared" si="1"/>
        <v>124880</v>
      </c>
      <c r="M33" s="38">
        <v>4</v>
      </c>
      <c r="N33" s="37">
        <f t="shared" si="1"/>
        <v>160560</v>
      </c>
      <c r="O33" s="26">
        <v>5</v>
      </c>
    </row>
    <row r="34" spans="2:15" ht="12.75">
      <c r="B34" s="18">
        <v>2000000</v>
      </c>
      <c r="C34" s="41">
        <f t="shared" si="0"/>
        <v>4460000</v>
      </c>
      <c r="D34" s="37">
        <f t="shared" si="1"/>
        <v>13603</v>
      </c>
      <c r="E34" s="38">
        <v>0.2</v>
      </c>
      <c r="F34" s="37">
        <f t="shared" si="1"/>
        <v>42370</v>
      </c>
      <c r="G34" s="38">
        <v>0.5</v>
      </c>
      <c r="H34" s="37">
        <f t="shared" si="1"/>
        <v>86970</v>
      </c>
      <c r="I34" s="38">
        <v>1.5</v>
      </c>
      <c r="J34" s="37">
        <f t="shared" si="1"/>
        <v>173940</v>
      </c>
      <c r="K34" s="38">
        <v>3</v>
      </c>
      <c r="L34" s="37">
        <f t="shared" si="1"/>
        <v>214080</v>
      </c>
      <c r="M34" s="38">
        <v>3.5</v>
      </c>
      <c r="N34" s="37">
        <f t="shared" si="1"/>
        <v>272060</v>
      </c>
      <c r="O34" s="26">
        <v>4</v>
      </c>
    </row>
    <row r="35" spans="2:15" ht="12.75">
      <c r="B35" s="18">
        <v>5000000</v>
      </c>
      <c r="C35" s="41">
        <f t="shared" si="0"/>
        <v>11150000</v>
      </c>
      <c r="D35" s="37">
        <f t="shared" si="1"/>
        <v>26983</v>
      </c>
      <c r="E35" s="38">
        <v>0.15</v>
      </c>
      <c r="F35" s="37">
        <f t="shared" si="1"/>
        <v>75820</v>
      </c>
      <c r="G35" s="38">
        <v>0.4</v>
      </c>
      <c r="H35" s="37">
        <f t="shared" si="1"/>
        <v>187320</v>
      </c>
      <c r="I35" s="38">
        <v>1.25</v>
      </c>
      <c r="J35" s="37">
        <f t="shared" si="1"/>
        <v>374640</v>
      </c>
      <c r="K35" s="38">
        <v>2.5</v>
      </c>
      <c r="L35" s="37">
        <f t="shared" si="1"/>
        <v>448230</v>
      </c>
      <c r="M35" s="38">
        <v>3</v>
      </c>
      <c r="N35" s="37">
        <f t="shared" si="1"/>
        <v>539660</v>
      </c>
      <c r="O35" s="26">
        <v>3.5</v>
      </c>
    </row>
    <row r="36" spans="2:15" ht="12.75">
      <c r="B36" s="18">
        <v>10000000</v>
      </c>
      <c r="C36" s="41">
        <f t="shared" si="0"/>
        <v>22300000</v>
      </c>
      <c r="D36" s="37">
        <f t="shared" si="1"/>
        <v>43708</v>
      </c>
      <c r="E36" s="38">
        <v>0.1</v>
      </c>
      <c r="F36" s="37">
        <f t="shared" si="1"/>
        <v>120420</v>
      </c>
      <c r="G36" s="38">
        <v>0.3</v>
      </c>
      <c r="H36" s="37">
        <f t="shared" si="1"/>
        <v>326695</v>
      </c>
      <c r="I36" s="38">
        <v>1</v>
      </c>
      <c r="J36" s="37">
        <f t="shared" si="1"/>
        <v>653390</v>
      </c>
      <c r="K36" s="38">
        <v>2</v>
      </c>
      <c r="L36" s="37">
        <f t="shared" si="1"/>
        <v>782730</v>
      </c>
      <c r="M36" s="38">
        <v>2.5</v>
      </c>
      <c r="N36" s="37">
        <f t="shared" si="1"/>
        <v>929910</v>
      </c>
      <c r="O36" s="26">
        <v>3</v>
      </c>
    </row>
    <row r="37" spans="2:15" ht="13.5" thickBot="1">
      <c r="B37" s="19">
        <v>50000000</v>
      </c>
      <c r="C37" s="42">
        <f>B37*$C$2</f>
        <v>111500000</v>
      </c>
      <c r="D37" s="43">
        <f t="shared" si="1"/>
        <v>132908</v>
      </c>
      <c r="E37" s="44">
        <v>0.05</v>
      </c>
      <c r="F37" s="43">
        <f t="shared" si="1"/>
        <v>388020</v>
      </c>
      <c r="G37" s="44">
        <v>0.2</v>
      </c>
      <c r="H37" s="43">
        <f t="shared" si="1"/>
        <v>1218695</v>
      </c>
      <c r="I37" s="44">
        <v>0.75</v>
      </c>
      <c r="J37" s="43">
        <f t="shared" si="1"/>
        <v>2437390</v>
      </c>
      <c r="K37" s="44">
        <v>1.5</v>
      </c>
      <c r="L37" s="43">
        <f t="shared" si="1"/>
        <v>3012730</v>
      </c>
      <c r="M37" s="44">
        <v>2</v>
      </c>
      <c r="N37" s="43">
        <f t="shared" si="1"/>
        <v>3605910</v>
      </c>
      <c r="O37" s="27">
        <v>2.5</v>
      </c>
    </row>
    <row r="38" spans="3:15" ht="12.75">
      <c r="C38" s="16">
        <f>VLOOKUP(C40,_TT4,1,TRUE)</f>
        <v>0</v>
      </c>
      <c r="D38" s="13">
        <f>VLOOKUP($C38,_TT4,D29,TRUE)</f>
        <v>0</v>
      </c>
      <c r="E38" s="22"/>
      <c r="F38" s="13">
        <f>VLOOKUP($C38,_TT4,F29,TRUE)</f>
        <v>0</v>
      </c>
      <c r="G38" s="22"/>
      <c r="H38" s="13">
        <f>VLOOKUP($C38,_TT4,H29,TRUE)</f>
        <v>0</v>
      </c>
      <c r="I38" s="22"/>
      <c r="J38" s="13">
        <f>VLOOKUP($C38,_TT4,J29,TRUE)</f>
        <v>0</v>
      </c>
      <c r="K38" s="22"/>
      <c r="L38" s="13">
        <f>VLOOKUP($C38,_TT4,L29,TRUE)</f>
        <v>0</v>
      </c>
      <c r="M38" s="22"/>
      <c r="N38" s="13">
        <f>VLOOKUP($C38,_TT4,N29,TRUE)</f>
        <v>0</v>
      </c>
      <c r="O38" s="22"/>
    </row>
    <row r="39" spans="3:15" ht="13.5" thickBot="1">
      <c r="C39" s="14">
        <f>C40-C38</f>
        <v>0</v>
      </c>
      <c r="D39" s="15">
        <f>$C39*E39/100</f>
        <v>0</v>
      </c>
      <c r="E39" s="23">
        <f>VLOOKUP($C38,_TT4,E29,TRUE)</f>
        <v>0.5</v>
      </c>
      <c r="F39" s="15">
        <f>$C39*G39/100</f>
        <v>0</v>
      </c>
      <c r="G39" s="23">
        <f>VLOOKUP($C38,_TT4,G29,TRUE)</f>
        <v>1.5</v>
      </c>
      <c r="H39" s="15">
        <f>$C39*I39/100</f>
        <v>0</v>
      </c>
      <c r="I39" s="23">
        <f>VLOOKUP($C38,_TT4,I29,TRUE)</f>
        <v>2.5</v>
      </c>
      <c r="J39" s="15">
        <f>$C39*K39/100</f>
        <v>0</v>
      </c>
      <c r="K39" s="23">
        <f>VLOOKUP($C38,_TT4,K29,TRUE)</f>
        <v>5</v>
      </c>
      <c r="L39" s="15">
        <f>$C39*M39/100</f>
        <v>0</v>
      </c>
      <c r="M39" s="23">
        <f>VLOOKUP($C38,_TT4,M29,TRUE)</f>
        <v>7</v>
      </c>
      <c r="N39" s="15">
        <f>$C39*O39/100</f>
        <v>0</v>
      </c>
      <c r="O39" s="23">
        <f>VLOOKUP($C38,_TT4,O29,TRUE)</f>
        <v>10</v>
      </c>
    </row>
    <row r="40" spans="3:15" ht="13.5" thickBot="1">
      <c r="C40" s="20">
        <f>DATOS!$N$11</f>
        <v>0</v>
      </c>
      <c r="D40" s="17">
        <f>D39+D38</f>
        <v>0</v>
      </c>
      <c r="E40" s="24"/>
      <c r="F40" s="17">
        <f>F39+F38</f>
        <v>0</v>
      </c>
      <c r="G40" s="24"/>
      <c r="H40" s="17">
        <f>H39+H38</f>
        <v>0</v>
      </c>
      <c r="I40" s="24"/>
      <c r="J40" s="17">
        <f>J39+J38</f>
        <v>0</v>
      </c>
      <c r="K40" s="24"/>
      <c r="L40" s="17">
        <f>L39+L38</f>
        <v>0</v>
      </c>
      <c r="M40" s="24"/>
      <c r="N40" s="17">
        <f>N39+N38</f>
        <v>0</v>
      </c>
      <c r="O40" s="24"/>
    </row>
    <row r="43" spans="2:8" s="5" customFormat="1" ht="13.5" thickBot="1">
      <c r="B43" s="35"/>
      <c r="C43" s="40">
        <v>1</v>
      </c>
      <c r="D43" s="40">
        <v>2</v>
      </c>
      <c r="E43" s="40">
        <v>3</v>
      </c>
      <c r="F43" s="40">
        <v>4</v>
      </c>
      <c r="G43" s="40">
        <v>5</v>
      </c>
      <c r="H43" s="35"/>
    </row>
    <row r="44" spans="1:10" ht="12.75">
      <c r="A44" t="s">
        <v>13</v>
      </c>
      <c r="B44" s="4">
        <v>0</v>
      </c>
      <c r="C44" s="45">
        <v>0</v>
      </c>
      <c r="D44" s="36">
        <v>0</v>
      </c>
      <c r="E44" s="46">
        <v>5</v>
      </c>
      <c r="F44" s="36">
        <v>0</v>
      </c>
      <c r="G44" s="25">
        <v>0.75</v>
      </c>
      <c r="H44" s="8"/>
      <c r="I44"/>
      <c r="J44"/>
    </row>
    <row r="45" spans="1:10" ht="12.75">
      <c r="A45" s="28" t="s">
        <v>15</v>
      </c>
      <c r="B45" s="18">
        <v>1000000</v>
      </c>
      <c r="C45" s="41">
        <f aca="true" t="shared" si="2" ref="C45:C50">B45*$C$2</f>
        <v>2230000</v>
      </c>
      <c r="D45" s="37">
        <f>($C45-$C44)*E44/100+D44</f>
        <v>111500</v>
      </c>
      <c r="E45" s="38">
        <v>4</v>
      </c>
      <c r="F45" s="37">
        <f>($C45-$C44)*G44/100+F44</f>
        <v>16725</v>
      </c>
      <c r="G45" s="26">
        <v>0.5</v>
      </c>
      <c r="H45" s="8"/>
      <c r="I45"/>
      <c r="J45"/>
    </row>
    <row r="46" spans="2:10" ht="12.75">
      <c r="B46" s="18">
        <v>5000000</v>
      </c>
      <c r="C46" s="41">
        <f t="shared" si="2"/>
        <v>11150000</v>
      </c>
      <c r="D46" s="37">
        <f aca="true" t="shared" si="3" ref="D46:F51">($C46-$C45)*E45/100+D45</f>
        <v>468300</v>
      </c>
      <c r="E46" s="38">
        <v>3</v>
      </c>
      <c r="F46" s="37">
        <f t="shared" si="3"/>
        <v>61325</v>
      </c>
      <c r="G46" s="26">
        <v>0.25</v>
      </c>
      <c r="H46" s="8"/>
      <c r="I46"/>
      <c r="J46"/>
    </row>
    <row r="47" spans="1:10" ht="12.75">
      <c r="A47" s="48" t="s">
        <v>55</v>
      </c>
      <c r="B47" s="18">
        <v>10000000</v>
      </c>
      <c r="C47" s="41">
        <f t="shared" si="2"/>
        <v>22300000</v>
      </c>
      <c r="D47" s="37">
        <f t="shared" si="3"/>
        <v>802800</v>
      </c>
      <c r="E47" s="38">
        <v>2.5</v>
      </c>
      <c r="F47" s="37">
        <f t="shared" si="3"/>
        <v>89200</v>
      </c>
      <c r="G47" s="26">
        <v>0.25</v>
      </c>
      <c r="H47" s="8"/>
      <c r="I47"/>
      <c r="J47"/>
    </row>
    <row r="48" spans="2:10" ht="12.75">
      <c r="B48" s="18">
        <v>20000000</v>
      </c>
      <c r="C48" s="41">
        <f t="shared" si="2"/>
        <v>44600000</v>
      </c>
      <c r="D48" s="37">
        <f t="shared" si="3"/>
        <v>1360300</v>
      </c>
      <c r="E48" s="38">
        <v>2</v>
      </c>
      <c r="F48" s="37">
        <f t="shared" si="3"/>
        <v>144950</v>
      </c>
      <c r="G48" s="26">
        <v>0.25</v>
      </c>
      <c r="H48" s="8"/>
      <c r="I48"/>
      <c r="J48"/>
    </row>
    <row r="49" spans="2:10" ht="12.75">
      <c r="B49" s="18">
        <v>40000000</v>
      </c>
      <c r="C49" s="41">
        <f t="shared" si="2"/>
        <v>89200000</v>
      </c>
      <c r="D49" s="37">
        <f t="shared" si="3"/>
        <v>2252300</v>
      </c>
      <c r="E49" s="38">
        <v>1.5</v>
      </c>
      <c r="F49" s="37">
        <f t="shared" si="3"/>
        <v>256450</v>
      </c>
      <c r="G49" s="26">
        <v>0.25</v>
      </c>
      <c r="H49" s="8"/>
      <c r="I49"/>
      <c r="J49"/>
    </row>
    <row r="50" spans="2:10" ht="12.75">
      <c r="B50" s="18">
        <v>80000000</v>
      </c>
      <c r="C50" s="41">
        <f t="shared" si="2"/>
        <v>178400000</v>
      </c>
      <c r="D50" s="37">
        <f t="shared" si="3"/>
        <v>3590300</v>
      </c>
      <c r="E50" s="38">
        <v>1</v>
      </c>
      <c r="F50" s="37">
        <f t="shared" si="3"/>
        <v>479450</v>
      </c>
      <c r="G50" s="26">
        <v>0.25</v>
      </c>
      <c r="H50" s="8"/>
      <c r="I50"/>
      <c r="J50"/>
    </row>
    <row r="51" spans="2:10" ht="13.5" thickBot="1">
      <c r="B51" s="19">
        <v>160000000</v>
      </c>
      <c r="C51" s="42">
        <f>B51*$C$2</f>
        <v>356800000</v>
      </c>
      <c r="D51" s="43">
        <f t="shared" si="3"/>
        <v>5374300</v>
      </c>
      <c r="E51" s="44">
        <v>0.5</v>
      </c>
      <c r="F51" s="43">
        <f t="shared" si="3"/>
        <v>925450</v>
      </c>
      <c r="G51" s="27">
        <v>0.25</v>
      </c>
      <c r="H51" s="8"/>
      <c r="I51"/>
      <c r="J51"/>
    </row>
    <row r="52" spans="3:10" ht="12.75">
      <c r="C52" s="16">
        <f>VLOOKUP(C54,_TT5,1,TRUE)</f>
        <v>0</v>
      </c>
      <c r="D52" s="13">
        <f>VLOOKUP($C52,_TT5,D43,TRUE)</f>
        <v>0</v>
      </c>
      <c r="E52" s="22"/>
      <c r="F52" s="13">
        <f>VLOOKUP($C52,_TT5,F43,TRUE)</f>
        <v>0</v>
      </c>
      <c r="G52" s="22"/>
      <c r="H52" s="8"/>
      <c r="I52"/>
      <c r="J52"/>
    </row>
    <row r="53" spans="3:10" ht="13.5" thickBot="1">
      <c r="C53" s="14">
        <f>C54-C52</f>
        <v>0</v>
      </c>
      <c r="D53" s="15">
        <f>$C53*E53/100</f>
        <v>0</v>
      </c>
      <c r="E53" s="23">
        <f>VLOOKUP($C52,_TT5,E43,TRUE)</f>
        <v>5</v>
      </c>
      <c r="F53" s="15">
        <f>$C53*G53/100</f>
        <v>0</v>
      </c>
      <c r="G53" s="23">
        <f>VLOOKUP($C52,_TT5,G43,TRUE)</f>
        <v>0.75</v>
      </c>
      <c r="H53" s="8"/>
      <c r="I53"/>
      <c r="J53"/>
    </row>
    <row r="54" spans="3:10" ht="13.5" thickBot="1">
      <c r="C54" s="20">
        <f>DATOS!$N$11</f>
        <v>0</v>
      </c>
      <c r="D54" s="17">
        <f>D53+D52</f>
        <v>0</v>
      </c>
      <c r="E54" s="24"/>
      <c r="F54" s="17">
        <f>F53+F52</f>
        <v>0</v>
      </c>
      <c r="G54" s="24"/>
      <c r="H54" s="8"/>
      <c r="I54"/>
      <c r="J54"/>
    </row>
    <row r="58" spans="2:23" s="5" customFormat="1" ht="13.5" thickBot="1">
      <c r="B58" s="35"/>
      <c r="C58" s="40">
        <v>1</v>
      </c>
      <c r="D58" s="40">
        <v>2</v>
      </c>
      <c r="E58" s="40">
        <v>3</v>
      </c>
      <c r="F58" s="40">
        <v>4</v>
      </c>
      <c r="G58" s="40">
        <v>5</v>
      </c>
      <c r="H58" s="40">
        <v>6</v>
      </c>
      <c r="I58" s="40">
        <v>7</v>
      </c>
      <c r="J58" s="40">
        <v>8</v>
      </c>
      <c r="K58" s="40">
        <v>9</v>
      </c>
      <c r="L58" s="40">
        <v>10</v>
      </c>
      <c r="M58" s="40">
        <v>11</v>
      </c>
      <c r="N58" s="40">
        <v>12</v>
      </c>
      <c r="O58" s="40">
        <v>13</v>
      </c>
      <c r="P58" s="40">
        <v>14</v>
      </c>
      <c r="Q58" s="40">
        <v>15</v>
      </c>
      <c r="R58" s="40">
        <v>16</v>
      </c>
      <c r="S58" s="40">
        <v>17</v>
      </c>
      <c r="T58" s="40">
        <v>18</v>
      </c>
      <c r="U58" s="40">
        <v>19</v>
      </c>
      <c r="V58" s="40">
        <v>20</v>
      </c>
      <c r="W58" s="40">
        <v>21</v>
      </c>
    </row>
    <row r="59" spans="1:23" ht="12.75">
      <c r="A59" t="s">
        <v>18</v>
      </c>
      <c r="B59" s="4">
        <v>0</v>
      </c>
      <c r="C59" s="45">
        <v>0</v>
      </c>
      <c r="D59" s="36">
        <v>0</v>
      </c>
      <c r="E59" s="46">
        <v>4</v>
      </c>
      <c r="F59" s="36">
        <v>0</v>
      </c>
      <c r="G59" s="46">
        <v>5</v>
      </c>
      <c r="H59" s="36">
        <v>0</v>
      </c>
      <c r="I59" s="46">
        <v>6</v>
      </c>
      <c r="J59" s="36">
        <v>0</v>
      </c>
      <c r="K59" s="46">
        <v>6.5</v>
      </c>
      <c r="L59" s="36">
        <v>0</v>
      </c>
      <c r="M59" s="46">
        <v>7</v>
      </c>
      <c r="N59" s="36">
        <v>0</v>
      </c>
      <c r="O59" s="46">
        <v>7.5</v>
      </c>
      <c r="P59" s="36">
        <v>0</v>
      </c>
      <c r="Q59" s="46">
        <v>8</v>
      </c>
      <c r="R59" s="36">
        <v>0</v>
      </c>
      <c r="S59" s="46">
        <v>8.5</v>
      </c>
      <c r="T59" s="36">
        <v>0</v>
      </c>
      <c r="U59" s="46">
        <v>10</v>
      </c>
      <c r="V59" s="36">
        <v>0</v>
      </c>
      <c r="W59" s="25">
        <v>15</v>
      </c>
    </row>
    <row r="60" spans="1:23" ht="12.75">
      <c r="A60" t="s">
        <v>56</v>
      </c>
      <c r="B60" s="18">
        <v>1000000</v>
      </c>
      <c r="C60" s="41">
        <f>B60*$C$2</f>
        <v>2230000</v>
      </c>
      <c r="D60" s="37">
        <f>($C60-$C59)*E59/100+D59</f>
        <v>89200</v>
      </c>
      <c r="E60" s="38">
        <v>3.5</v>
      </c>
      <c r="F60" s="37">
        <f>($C60-$C59)*G59/100+F59</f>
        <v>111500</v>
      </c>
      <c r="G60" s="38">
        <v>4.5</v>
      </c>
      <c r="H60" s="37">
        <f>($C60-$C59)*I59/100+H59</f>
        <v>133800</v>
      </c>
      <c r="I60" s="38">
        <v>5.5</v>
      </c>
      <c r="J60" s="37">
        <f>($C60-$C59)*K59/100+J59</f>
        <v>144950</v>
      </c>
      <c r="K60" s="38">
        <v>6</v>
      </c>
      <c r="L60" s="37">
        <f>($C60-$C59)*M59/100+L59</f>
        <v>156100</v>
      </c>
      <c r="M60" s="38">
        <v>6.5</v>
      </c>
      <c r="N60" s="37">
        <f>($C60-$C59)*O59/100+N59</f>
        <v>167250</v>
      </c>
      <c r="O60" s="38">
        <v>7</v>
      </c>
      <c r="P60" s="37">
        <f>($C60-$C59)*Q59/100+P59</f>
        <v>178400</v>
      </c>
      <c r="Q60" s="38">
        <v>7.5</v>
      </c>
      <c r="R60" s="37">
        <f>($C60-$C59)*S59/100+R59</f>
        <v>189550</v>
      </c>
      <c r="S60" s="38">
        <v>8</v>
      </c>
      <c r="T60" s="37">
        <f>($C60-$C59)*U59/100+T59</f>
        <v>223000</v>
      </c>
      <c r="U60" s="38">
        <v>9.5</v>
      </c>
      <c r="V60" s="37">
        <f>($C60-$C59)*W59/100+V59</f>
        <v>334500</v>
      </c>
      <c r="W60" s="26">
        <v>14</v>
      </c>
    </row>
    <row r="61" spans="2:23" ht="12.75">
      <c r="B61" s="18">
        <v>5000000</v>
      </c>
      <c r="C61" s="41">
        <f>B61*$C$2</f>
        <v>11150000</v>
      </c>
      <c r="D61" s="37">
        <f>($C61-$C60)*E60/100+D60</f>
        <v>401400</v>
      </c>
      <c r="E61" s="38">
        <v>3</v>
      </c>
      <c r="F61" s="37">
        <f>($C61-$C60)*G60/100+F60</f>
        <v>512900</v>
      </c>
      <c r="G61" s="38">
        <v>4</v>
      </c>
      <c r="H61" s="37">
        <f>($C61-$C60)*I60/100+H60</f>
        <v>624400</v>
      </c>
      <c r="I61" s="38">
        <v>5</v>
      </c>
      <c r="J61" s="37">
        <f>($C61-$C60)*K60/100+J60</f>
        <v>680150</v>
      </c>
      <c r="K61" s="38">
        <v>5.5</v>
      </c>
      <c r="L61" s="37">
        <f>($C61-$C60)*M60/100+L60</f>
        <v>735900</v>
      </c>
      <c r="M61" s="38">
        <v>6</v>
      </c>
      <c r="N61" s="37">
        <f>($C61-$C60)*O60/100+N60</f>
        <v>791650</v>
      </c>
      <c r="O61" s="38">
        <v>6.5</v>
      </c>
      <c r="P61" s="37">
        <f>($C61-$C60)*Q60/100+P60</f>
        <v>847400</v>
      </c>
      <c r="Q61" s="38">
        <v>7</v>
      </c>
      <c r="R61" s="37">
        <f>($C61-$C60)*S60/100+R60</f>
        <v>903150</v>
      </c>
      <c r="S61" s="38">
        <v>7.5</v>
      </c>
      <c r="T61" s="37">
        <f>($C61-$C60)*U60/100+T60</f>
        <v>1070400</v>
      </c>
      <c r="U61" s="38">
        <v>9</v>
      </c>
      <c r="V61" s="37">
        <f aca="true" t="shared" si="4" ref="T61:V64">($C61-$C60)*W60/100+V60</f>
        <v>1583300</v>
      </c>
      <c r="W61" s="26">
        <v>13</v>
      </c>
    </row>
    <row r="62" spans="1:23" ht="12.75">
      <c r="A62" s="48" t="s">
        <v>57</v>
      </c>
      <c r="B62" s="18">
        <v>10000000</v>
      </c>
      <c r="C62" s="41">
        <f>B62*$C$2</f>
        <v>22300000</v>
      </c>
      <c r="D62" s="37">
        <f>($C62-$C61)*E61/100+D61</f>
        <v>735900</v>
      </c>
      <c r="E62" s="38">
        <v>2.5</v>
      </c>
      <c r="F62" s="37">
        <f>($C62-$C61)*G61/100+F61</f>
        <v>958900</v>
      </c>
      <c r="G62" s="38">
        <v>3.75</v>
      </c>
      <c r="H62" s="37">
        <f>($C62-$C61)*I61/100+H61</f>
        <v>1181900</v>
      </c>
      <c r="I62" s="38">
        <v>4.5</v>
      </c>
      <c r="J62" s="37">
        <f>($C62-$C61)*K61/100+J61</f>
        <v>1293400</v>
      </c>
      <c r="K62" s="38">
        <v>5</v>
      </c>
      <c r="L62" s="37">
        <f>($C62-$C61)*M61/100+L61</f>
        <v>1404900</v>
      </c>
      <c r="M62" s="38">
        <v>5.5</v>
      </c>
      <c r="N62" s="37">
        <f>($C62-$C61)*O61/100+N61</f>
        <v>1516400</v>
      </c>
      <c r="O62" s="38">
        <v>6</v>
      </c>
      <c r="P62" s="37">
        <f>($C62-$C61)*Q61/100+P61</f>
        <v>1627900</v>
      </c>
      <c r="Q62" s="38">
        <v>6.5</v>
      </c>
      <c r="R62" s="37">
        <f>($C62-$C61)*S61/100+R61</f>
        <v>1739400</v>
      </c>
      <c r="S62" s="38">
        <v>7</v>
      </c>
      <c r="T62" s="37">
        <f t="shared" si="4"/>
        <v>2073900</v>
      </c>
      <c r="U62" s="38">
        <v>8.5</v>
      </c>
      <c r="V62" s="37">
        <f t="shared" si="4"/>
        <v>3032800</v>
      </c>
      <c r="W62" s="26">
        <v>12</v>
      </c>
    </row>
    <row r="63" spans="2:23" ht="12.75">
      <c r="B63" s="18">
        <v>30000000</v>
      </c>
      <c r="C63" s="41">
        <f>B63*$C$2</f>
        <v>66900000</v>
      </c>
      <c r="D63" s="37">
        <f>($C63-$C62)*E62/100+D62</f>
        <v>1850900</v>
      </c>
      <c r="E63" s="38">
        <v>2</v>
      </c>
      <c r="F63" s="37">
        <f>($C63-$C62)*G62/100+F62</f>
        <v>2631400</v>
      </c>
      <c r="G63" s="38">
        <v>3.5</v>
      </c>
      <c r="H63" s="37">
        <f>($C63-$C62)*I62/100+H62</f>
        <v>3188900</v>
      </c>
      <c r="I63" s="38">
        <v>4</v>
      </c>
      <c r="J63" s="37">
        <f>($C63-$C62)*K62/100+J62</f>
        <v>3523400</v>
      </c>
      <c r="K63" s="38">
        <v>4.5</v>
      </c>
      <c r="L63" s="37">
        <f>($C63-$C62)*M62/100+L62</f>
        <v>3857900</v>
      </c>
      <c r="M63" s="38">
        <v>5</v>
      </c>
      <c r="N63" s="37">
        <f>($C63-$C62)*O62/100+N62</f>
        <v>4192400</v>
      </c>
      <c r="O63" s="38">
        <v>5.5</v>
      </c>
      <c r="P63" s="37">
        <f>($C63-$C62)*Q62/100+P62</f>
        <v>4526900</v>
      </c>
      <c r="Q63" s="38">
        <v>6</v>
      </c>
      <c r="R63" s="37">
        <f>($C63-$C62)*S62/100+R62</f>
        <v>4861400</v>
      </c>
      <c r="S63" s="38">
        <v>6.5</v>
      </c>
      <c r="T63" s="37">
        <f t="shared" si="4"/>
        <v>5864900</v>
      </c>
      <c r="U63" s="38">
        <v>8</v>
      </c>
      <c r="V63" s="37">
        <f t="shared" si="4"/>
        <v>8384800</v>
      </c>
      <c r="W63" s="26">
        <v>11</v>
      </c>
    </row>
    <row r="64" spans="2:23" ht="13.5" thickBot="1">
      <c r="B64" s="19">
        <v>100000000</v>
      </c>
      <c r="C64" s="42">
        <f>B64*$C$2</f>
        <v>223000000</v>
      </c>
      <c r="D64" s="43">
        <f>($C64-$C63)*E63/100+D63</f>
        <v>4972900</v>
      </c>
      <c r="E64" s="44">
        <v>1.5</v>
      </c>
      <c r="F64" s="43">
        <f>($C64-$C63)*G63/100+F63</f>
        <v>8094900</v>
      </c>
      <c r="G64" s="44">
        <v>3.25</v>
      </c>
      <c r="H64" s="43">
        <f>($C64-$C63)*I63/100+H63</f>
        <v>9432900</v>
      </c>
      <c r="I64" s="44">
        <v>3.75</v>
      </c>
      <c r="J64" s="43">
        <f>($C64-$C63)*K63/100+J63</f>
        <v>10547900</v>
      </c>
      <c r="K64" s="44">
        <v>4</v>
      </c>
      <c r="L64" s="43">
        <f>($C64-$C63)*M63/100+L63</f>
        <v>11662900</v>
      </c>
      <c r="M64" s="44">
        <v>4.5</v>
      </c>
      <c r="N64" s="43">
        <f>($C64-$C63)*O63/100+N63</f>
        <v>12777900</v>
      </c>
      <c r="O64" s="44">
        <v>5</v>
      </c>
      <c r="P64" s="43">
        <f>($C64-$C63)*Q63/100+P63</f>
        <v>13892900</v>
      </c>
      <c r="Q64" s="44">
        <v>5.5</v>
      </c>
      <c r="R64" s="43">
        <f>($C64-$C63)*S63/100+R63</f>
        <v>15007900</v>
      </c>
      <c r="S64" s="44">
        <v>6</v>
      </c>
      <c r="T64" s="43">
        <f t="shared" si="4"/>
        <v>18352900</v>
      </c>
      <c r="U64" s="44">
        <v>7.5</v>
      </c>
      <c r="V64" s="43">
        <f t="shared" si="4"/>
        <v>25555800</v>
      </c>
      <c r="W64" s="27">
        <v>10</v>
      </c>
    </row>
    <row r="65" spans="3:5" ht="12.75">
      <c r="C65"/>
      <c r="D65"/>
      <c r="E65"/>
    </row>
    <row r="66" spans="3:5" ht="12.75">
      <c r="C66"/>
      <c r="D66" s="31">
        <f>$B$67*2</f>
        <v>16</v>
      </c>
      <c r="E66" s="31">
        <f>D66+1</f>
        <v>17</v>
      </c>
    </row>
    <row r="67" spans="1:5" ht="12.75">
      <c r="A67" s="29" t="s">
        <v>58</v>
      </c>
      <c r="B67" s="30">
        <f>DATOS!$N$37</f>
        <v>8</v>
      </c>
      <c r="C67" s="16">
        <f>VLOOKUP(C69,_TT8,1,TRUE)</f>
        <v>0</v>
      </c>
      <c r="D67" s="13">
        <f>VLOOKUP($C67,_TT8,D66,TRUE)</f>
        <v>0</v>
      </c>
      <c r="E67" s="22"/>
    </row>
    <row r="68" spans="3:5" ht="13.5" thickBot="1">
      <c r="C68" s="14">
        <f>C69-C67</f>
        <v>0</v>
      </c>
      <c r="D68" s="15">
        <f>$C68*E68/100</f>
        <v>0</v>
      </c>
      <c r="E68" s="23">
        <f>VLOOKUP($C67,_TT8,E66,TRUE)</f>
        <v>8.5</v>
      </c>
    </row>
    <row r="69" spans="3:5" ht="13.5" thickBot="1">
      <c r="C69" s="20">
        <f>DATOS!$N$11</f>
        <v>0</v>
      </c>
      <c r="D69" s="17">
        <f>D68+D67</f>
        <v>0</v>
      </c>
      <c r="E69" s="24"/>
    </row>
    <row r="71" spans="3:15" ht="12.75">
      <c r="C71"/>
      <c r="D71" s="50" t="s">
        <v>48</v>
      </c>
      <c r="E71" s="51"/>
      <c r="F71" s="50" t="s">
        <v>49</v>
      </c>
      <c r="G71" s="51"/>
      <c r="H71" s="50" t="s">
        <v>50</v>
      </c>
      <c r="I71" s="51"/>
      <c r="J71" s="50" t="s">
        <v>51</v>
      </c>
      <c r="K71" s="51"/>
      <c r="L71" s="50" t="s">
        <v>52</v>
      </c>
      <c r="M71" s="51"/>
      <c r="N71" s="50" t="s">
        <v>53</v>
      </c>
      <c r="O71" s="51"/>
    </row>
    <row r="72" spans="2:23" s="5" customFormat="1" ht="13.5" thickBot="1">
      <c r="B72" s="35"/>
      <c r="C72" s="40">
        <v>1</v>
      </c>
      <c r="D72" s="40">
        <v>2</v>
      </c>
      <c r="E72" s="40">
        <v>3</v>
      </c>
      <c r="F72" s="40">
        <v>4</v>
      </c>
      <c r="G72" s="40">
        <v>5</v>
      </c>
      <c r="H72" s="40">
        <v>6</v>
      </c>
      <c r="I72" s="40">
        <v>7</v>
      </c>
      <c r="J72" s="40">
        <v>8</v>
      </c>
      <c r="K72" s="40">
        <v>9</v>
      </c>
      <c r="L72" s="40">
        <v>10</v>
      </c>
      <c r="M72" s="40">
        <v>11</v>
      </c>
      <c r="N72" s="40">
        <v>12</v>
      </c>
      <c r="O72" s="40">
        <v>13</v>
      </c>
      <c r="P72" s="35"/>
      <c r="Q72" s="35"/>
      <c r="R72" s="35"/>
      <c r="S72" s="35"/>
      <c r="T72" s="35"/>
      <c r="U72" s="35"/>
      <c r="V72" s="35"/>
      <c r="W72" s="35"/>
    </row>
    <row r="73" spans="1:15" ht="12.75">
      <c r="A73" t="s">
        <v>59</v>
      </c>
      <c r="B73" s="4">
        <v>0</v>
      </c>
      <c r="C73" s="45">
        <v>0</v>
      </c>
      <c r="D73" s="36">
        <v>0</v>
      </c>
      <c r="E73" s="46">
        <v>0</v>
      </c>
      <c r="F73" s="36">
        <v>0</v>
      </c>
      <c r="G73" s="46">
        <v>0</v>
      </c>
      <c r="H73" s="36">
        <v>0</v>
      </c>
      <c r="I73" s="46">
        <v>0</v>
      </c>
      <c r="J73" s="36">
        <v>0</v>
      </c>
      <c r="K73" s="46">
        <v>0</v>
      </c>
      <c r="L73" s="36">
        <v>0</v>
      </c>
      <c r="M73" s="46">
        <v>0</v>
      </c>
      <c r="N73" s="36">
        <v>0</v>
      </c>
      <c r="O73" s="25">
        <v>0</v>
      </c>
    </row>
    <row r="74" spans="1:15" ht="12.75">
      <c r="A74" t="s">
        <v>60</v>
      </c>
      <c r="B74" s="18">
        <v>200000</v>
      </c>
      <c r="C74" s="41">
        <f>B74*$C$2</f>
        <v>446000</v>
      </c>
      <c r="D74" s="37">
        <f>2500*$C$2</f>
        <v>5575</v>
      </c>
      <c r="E74" s="38">
        <v>1</v>
      </c>
      <c r="F74" s="37">
        <f>10000*$C$2</f>
        <v>22300</v>
      </c>
      <c r="G74" s="38">
        <v>0.25</v>
      </c>
      <c r="H74" s="37">
        <f>2500*$C$2</f>
        <v>5575</v>
      </c>
      <c r="I74" s="38">
        <v>1</v>
      </c>
      <c r="J74" s="37">
        <f>5000*$C$2</f>
        <v>11150</v>
      </c>
      <c r="K74" s="38">
        <v>2</v>
      </c>
      <c r="L74" s="37">
        <f>2000*$C$2</f>
        <v>4460</v>
      </c>
      <c r="M74" s="38">
        <v>0.7</v>
      </c>
      <c r="N74" s="37">
        <f>5000*$C$2</f>
        <v>11150</v>
      </c>
      <c r="O74" s="26">
        <v>2</v>
      </c>
    </row>
    <row r="75" spans="2:15" ht="12.75">
      <c r="B75" s="18">
        <v>1000000</v>
      </c>
      <c r="C75" s="41">
        <f>B75*$C$2</f>
        <v>2230000</v>
      </c>
      <c r="D75" s="37">
        <f>($C75-$C74)*E74/100+D74</f>
        <v>23415</v>
      </c>
      <c r="E75" s="38">
        <v>0.7</v>
      </c>
      <c r="F75" s="37">
        <f>($C75-$C74)*G74/100+F74</f>
        <v>26760</v>
      </c>
      <c r="G75" s="38">
        <v>0.2</v>
      </c>
      <c r="H75" s="37">
        <f>($C75-$C74)*I74/100+H74</f>
        <v>23415</v>
      </c>
      <c r="I75" s="38">
        <v>0.7</v>
      </c>
      <c r="J75" s="37">
        <f>($C75-$C74)*K74/100+J74</f>
        <v>46830</v>
      </c>
      <c r="K75" s="38">
        <v>1.5</v>
      </c>
      <c r="L75" s="37">
        <f>($C75-$C74)*M74/100+L74</f>
        <v>16948</v>
      </c>
      <c r="M75" s="38">
        <v>0.5</v>
      </c>
      <c r="N75" s="37">
        <f>($C75-$C74)*O74/100+N74</f>
        <v>46830</v>
      </c>
      <c r="O75" s="26">
        <v>1.5</v>
      </c>
    </row>
    <row r="76" spans="1:15" ht="12.75">
      <c r="A76" s="48" t="s">
        <v>61</v>
      </c>
      <c r="B76" s="18">
        <v>2000000</v>
      </c>
      <c r="C76" s="41">
        <f>B76*$C$2</f>
        <v>4460000</v>
      </c>
      <c r="D76" s="37">
        <f>($C76-$C75)*E75/100+D75</f>
        <v>39025</v>
      </c>
      <c r="E76" s="38">
        <v>0.5</v>
      </c>
      <c r="F76" s="37">
        <f>($C76-$C75)*G75/100+F75</f>
        <v>31220</v>
      </c>
      <c r="G76" s="38">
        <v>0.15</v>
      </c>
      <c r="H76" s="37">
        <f>($C76-$C75)*I75/100+H75</f>
        <v>39025</v>
      </c>
      <c r="I76" s="38">
        <v>0.5</v>
      </c>
      <c r="J76" s="37">
        <f>($C76-$C75)*K75/100+J75</f>
        <v>80280</v>
      </c>
      <c r="K76" s="38">
        <v>1</v>
      </c>
      <c r="L76" s="37">
        <f>($C76-$C75)*M75/100+L75</f>
        <v>28098</v>
      </c>
      <c r="M76" s="38">
        <v>0.4</v>
      </c>
      <c r="N76" s="37">
        <f>($C76-$C75)*O75/100+N75</f>
        <v>80280</v>
      </c>
      <c r="O76" s="26">
        <v>1.2</v>
      </c>
    </row>
    <row r="77" spans="2:15" ht="13.5" thickBot="1">
      <c r="B77" s="19">
        <v>5000000</v>
      </c>
      <c r="C77" s="42">
        <f>B77*$C$2</f>
        <v>11150000</v>
      </c>
      <c r="D77" s="43">
        <f>($C77-$C76)*E76/100+D76</f>
        <v>72475</v>
      </c>
      <c r="E77" s="44">
        <v>0.3</v>
      </c>
      <c r="F77" s="43">
        <f>($C77-$C76)*G76/100+F76</f>
        <v>41255</v>
      </c>
      <c r="G77" s="44">
        <v>0.1</v>
      </c>
      <c r="H77" s="43">
        <f>($C77-$C76)*I76/100+H76</f>
        <v>72475</v>
      </c>
      <c r="I77" s="44">
        <v>0.3</v>
      </c>
      <c r="J77" s="43">
        <f>($C77-$C76)*K76/100+J76</f>
        <v>147180</v>
      </c>
      <c r="K77" s="44">
        <v>0.5</v>
      </c>
      <c r="L77" s="43">
        <f>($C77-$C76)*M76/100+L76</f>
        <v>54858</v>
      </c>
      <c r="M77" s="44">
        <v>0.3</v>
      </c>
      <c r="N77" s="43">
        <f>($C77-$C76)*O76/100+N76</f>
        <v>160560</v>
      </c>
      <c r="O77" s="27">
        <v>1</v>
      </c>
    </row>
    <row r="78" spans="3:15" ht="12.75">
      <c r="C78" s="16">
        <f>VLOOKUP(C80,TT8m,1,TRUE)</f>
        <v>0</v>
      </c>
      <c r="D78" s="53">
        <f>VLOOKUP($C78,TT8m,D72,TRUE)</f>
        <v>0</v>
      </c>
      <c r="E78" s="22"/>
      <c r="F78" s="53">
        <f>VLOOKUP($C78,TT8m,F72,TRUE)</f>
        <v>0</v>
      </c>
      <c r="G78" s="22"/>
      <c r="H78" s="53">
        <f>VLOOKUP($C78,TT8m,H72,TRUE)</f>
        <v>0</v>
      </c>
      <c r="I78" s="22"/>
      <c r="J78" s="53">
        <f>VLOOKUP($C78,TT8m,J72,TRUE)</f>
        <v>0</v>
      </c>
      <c r="K78" s="22"/>
      <c r="L78" s="53">
        <f>VLOOKUP($C78,TT8m,L72,TRUE)</f>
        <v>0</v>
      </c>
      <c r="M78" s="22"/>
      <c r="N78" s="53">
        <f>VLOOKUP($C78,TT8m,N72,TRUE)</f>
        <v>0</v>
      </c>
      <c r="O78" s="22"/>
    </row>
    <row r="79" spans="3:15" ht="13.5" thickBot="1">
      <c r="C79" s="14">
        <f>C80-C78</f>
        <v>0</v>
      </c>
      <c r="D79" s="37">
        <f>$C79*E79/100</f>
        <v>0</v>
      </c>
      <c r="E79" s="38">
        <f>VLOOKUP($C78,TT8m,E72,TRUE)</f>
        <v>0</v>
      </c>
      <c r="F79" s="37">
        <f>$C79*G79/100</f>
        <v>0</v>
      </c>
      <c r="G79" s="38">
        <f>VLOOKUP($C78,TT8m,G72,TRUE)</f>
        <v>0</v>
      </c>
      <c r="H79" s="37">
        <f>$C79*I79/100</f>
        <v>0</v>
      </c>
      <c r="I79" s="38">
        <f>VLOOKUP($C78,TT8m,I72,TRUE)</f>
        <v>0</v>
      </c>
      <c r="J79" s="37">
        <f>$C79*K79/100</f>
        <v>0</v>
      </c>
      <c r="K79" s="38">
        <f>VLOOKUP($C78,TT8m,K72,TRUE)</f>
        <v>0</v>
      </c>
      <c r="L79" s="37">
        <f>$C79*M79/100</f>
        <v>0</v>
      </c>
      <c r="M79" s="38">
        <f>VLOOKUP($C78,TT8m,M72,TRUE)</f>
        <v>0</v>
      </c>
      <c r="N79" s="37">
        <f>$C79*O79/100</f>
        <v>0</v>
      </c>
      <c r="O79" s="38">
        <f>VLOOKUP($C78,TT8m,O72,TRUE)</f>
        <v>0</v>
      </c>
    </row>
    <row r="80" spans="3:15" ht="13.5" thickBot="1">
      <c r="C80" s="20">
        <f>DATOS!$N$11</f>
        <v>0</v>
      </c>
      <c r="D80" s="54">
        <f>D79+D78</f>
        <v>0</v>
      </c>
      <c r="E80" s="23"/>
      <c r="F80" s="54">
        <f>F79+F78</f>
        <v>0</v>
      </c>
      <c r="G80" s="23"/>
      <c r="H80" s="54">
        <f>H79+H78</f>
        <v>0</v>
      </c>
      <c r="I80" s="23"/>
      <c r="J80" s="54">
        <f>J79+J78</f>
        <v>0</v>
      </c>
      <c r="K80" s="23"/>
      <c r="L80" s="54">
        <f>L79+L78</f>
        <v>0</v>
      </c>
      <c r="M80" s="23"/>
      <c r="N80" s="54">
        <f>N79+N78</f>
        <v>0</v>
      </c>
      <c r="O80" s="23"/>
    </row>
    <row r="81" spans="3:15" ht="12.75">
      <c r="C81" s="49"/>
      <c r="D81" s="52">
        <f>MAX(D80,D74)</f>
        <v>5575</v>
      </c>
      <c r="E81" s="24"/>
      <c r="F81" s="52">
        <f>MAX(F80,F74)</f>
        <v>22300</v>
      </c>
      <c r="G81" s="24"/>
      <c r="H81" s="52">
        <f>MAX(H80,H74)</f>
        <v>5575</v>
      </c>
      <c r="I81" s="24"/>
      <c r="J81" s="52">
        <f>MAX(J80,J74)</f>
        <v>11150</v>
      </c>
      <c r="K81" s="24"/>
      <c r="L81" s="52">
        <f>MAX(L80,L74)</f>
        <v>4460</v>
      </c>
      <c r="M81" s="24"/>
      <c r="N81" s="52">
        <f>MAX(N80,N74)</f>
        <v>11150</v>
      </c>
      <c r="O81" s="24"/>
    </row>
    <row r="82" spans="3:6" ht="12.75">
      <c r="C82" s="49"/>
      <c r="F82" s="9"/>
    </row>
    <row r="83" spans="3:6" ht="10.5" customHeight="1">
      <c r="C83" s="49"/>
      <c r="F83" s="9"/>
    </row>
    <row r="86" ht="12.75">
      <c r="C86" s="49"/>
    </row>
  </sheetData>
  <sheetProtection/>
  <mergeCells count="5">
    <mergeCell ref="A1:B1"/>
    <mergeCell ref="A2:B2"/>
    <mergeCell ref="A3:B3"/>
    <mergeCell ref="D13:F13"/>
    <mergeCell ref="H13:J13"/>
  </mergeCells>
  <printOptions gridLines="1"/>
  <pageMargins left="0.75" right="0.75" top="1" bottom="1" header="0.511811024" footer="0.511811024"/>
  <pageSetup horizontalDpi="300" verticalDpi="300" orientation="landscape" paperSize="5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Macsi Vicente</cp:lastModifiedBy>
  <cp:lastPrinted>2021-04-01T14:10:54Z</cp:lastPrinted>
  <dcterms:created xsi:type="dcterms:W3CDTF">2003-09-27T21:31:41Z</dcterms:created>
  <dcterms:modified xsi:type="dcterms:W3CDTF">2021-04-04T17:07:13Z</dcterms:modified>
  <cp:category/>
  <cp:version/>
  <cp:contentType/>
  <cp:contentStatus/>
</cp:coreProperties>
</file>