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firstSheet="1" activeTab="1"/>
  </bookViews>
  <sheets>
    <sheet name="Tablas" sheetId="1" state="hidden" r:id="rId1"/>
    <sheet name="Estudio Licitación" sheetId="2" r:id="rId2"/>
  </sheets>
  <externalReferences>
    <externalReference r:id="rId5"/>
    <externalReference r:id="rId6"/>
  </externalReferences>
  <definedNames>
    <definedName name="_xlnm.Print_Area" localSheetId="1">'Estudio Licitación'!$A$1:$H$55</definedName>
    <definedName name="EISat1">'[2]ELOY (2)'!#REF!</definedName>
    <definedName name="material">'[2]ELOY'!$A$8:$G$75</definedName>
    <definedName name="reptec">#REF!</definedName>
    <definedName name="_xlnm.Print_Titles" localSheetId="1">'Estudio Licitación'!$1:$8</definedName>
    <definedName name="valorfiscal">'[1]EAg'!#REF!</definedName>
  </definedNames>
  <calcPr fullCalcOnLoad="1"/>
</workbook>
</file>

<file path=xl/sharedStrings.xml><?xml version="1.0" encoding="utf-8"?>
<sst xmlns="http://schemas.openxmlformats.org/spreadsheetml/2006/main" count="139" uniqueCount="75">
  <si>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</si>
  <si>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</si>
  <si>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</si>
  <si>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</si>
  <si>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</si>
  <si>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</si>
  <si>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</si>
  <si>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</si>
  <si>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</si>
  <si>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</si>
  <si>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</si>
  <si>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</si>
  <si>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</si>
  <si>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</si>
  <si>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</si>
  <si>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</si>
  <si>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</si>
  <si>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</si>
  <si>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</si>
  <si>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</si>
  <si>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</si>
  <si>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</si>
  <si>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</si>
  <si>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</si>
  <si>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</si>
  <si>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</si>
  <si>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</si>
  <si>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</si>
  <si>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</si>
  <si>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</si>
  <si>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</si>
  <si>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</si>
  <si>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</si>
  <si>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</si>
  <si>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</si>
  <si>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</si>
  <si>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</si>
  <si>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</si>
  <si>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</si>
  <si>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</si>
  <si>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</si>
  <si>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t>Honorario Mínimo</t>
  </si>
  <si>
    <t>Estudio de Licitacion</t>
  </si>
  <si>
    <t>Hasta</t>
  </si>
  <si>
    <t>Siguientes</t>
  </si>
  <si>
    <t>Firma y sello del Profesional</t>
  </si>
  <si>
    <r>
      <t>SE APLICA EL</t>
    </r>
    <r>
      <rPr>
        <b/>
        <sz val="10"/>
        <rFont val="Arial"/>
        <family val="2"/>
      </rPr>
      <t xml:space="preserve"> 0,5%</t>
    </r>
  </si>
  <si>
    <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</si>
  <si>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Resolución Actualización</t>
  </si>
  <si>
    <t>Monto Mínimo TV</t>
  </si>
  <si>
    <t>Monto Mínimo Honorarios TV</t>
  </si>
  <si>
    <t>Porcentaje de Timbrado</t>
  </si>
  <si>
    <t>COLEGIO DE INGENIEROS</t>
  </si>
  <si>
    <t>de la Provincia de Buenos Aires</t>
  </si>
  <si>
    <t>Ley 10.416 y modificatoria 10.698</t>
  </si>
  <si>
    <t>Planilla anexa correspondiente al contrato celebrado el:</t>
  </si>
  <si>
    <t>entre:</t>
  </si>
  <si>
    <t>y</t>
  </si>
  <si>
    <t>Licitación:</t>
  </si>
  <si>
    <t>HONORARIO CONVENIDO Profesional - Comitente</t>
  </si>
  <si>
    <t>VISADO</t>
  </si>
  <si>
    <t>Timbrado 1,2 %</t>
  </si>
  <si>
    <t>Visado Colegio 2,5 %</t>
  </si>
  <si>
    <t>Aporte Caja 10%</t>
  </si>
  <si>
    <t>TOTAL</t>
  </si>
  <si>
    <t>…………………………………………………………………………………………………….</t>
  </si>
  <si>
    <t>Coeficiente de actualización</t>
  </si>
  <si>
    <t>VALOR EN JUEGO SEGÚN RESOLUCIÓN N° 1310/19</t>
  </si>
  <si>
    <t>Honorario Profesional mínimo estudio y preparación de propuestas de licitación</t>
  </si>
  <si>
    <t>VALOR EN JUEGO Según presupuesto oficial de la licitación</t>
  </si>
  <si>
    <t>Honorario Profesional representación técnica</t>
  </si>
  <si>
    <t>Matrícula Prof. N°:</t>
  </si>
  <si>
    <t>Representación Técnica - Decreto 6964/65 Titulo V Art. 1</t>
  </si>
  <si>
    <t>Honorario Profesional estudio de oferta 5% RT</t>
  </si>
  <si>
    <t>En los casos que el presupuesto oficial supere los 18.182 HPM se tomara este último para el cálculo de los honorarios profesionales por estudio y preparación de propuestas de licitación (Resolución 1310/19 Art. 1)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</si>
</sst>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 * #,##0_ ;_ * \-#,##0_ ;_ * &quot;-&quot;??_ ;_ @_ "/>
    <numFmt numFmtId="182" formatCode="0.0000"/>
    <numFmt numFmtId="183" formatCode="#\ ?/2"/>
    <numFmt numFmtId="184" formatCode="#,##0.00_ ;\-#,##0.00\ "/>
    <numFmt numFmtId="185" formatCode="_-* #,##0.0000_-;\-* #,##0.0000_-;_-* &quot;-&quot;??_-;_-@_-"/>
    <numFmt numFmtId="186" formatCode="[$$-2C0A]\ #,##0.00;[$$-2C0A]\ \-#,##0.00"/>
    <numFmt numFmtId="187" formatCode="[$$-2C0A]\ #,##0.00"/>
    <numFmt numFmtId="188" formatCode="0.000"/>
    <numFmt numFmtId="189" formatCode="_(&quot;$&quot;* #,##0.00_);_(&quot;$&quot;* \(#,##0.00\);_(&quot;$&quot;* &quot;-&quot;??_);_(@_)"/>
    <numFmt numFmtId="190" formatCode="0.0"/>
    <numFmt numFmtId="191" formatCode="[$$-2C0A]\ #,##0"/>
    <numFmt numFmtId="192" formatCode="dd\-mm\-yy;@"/>
    <numFmt numFmtId="193" formatCode="#,##0.000"/>
    <numFmt numFmtId="194" formatCode="#,##0.000_ ;\-#,##0.000\ "/>
    <numFmt numFmtId="195" formatCode="#,##0_ ;\-#,##0\ "/>
    <numFmt numFmtId="196" formatCode="#,###\ &quot;m&quot;"/>
    <numFmt numFmtId="197" formatCode="#,###\ \ &quot;m&quot;"/>
    <numFmt numFmtId="198" formatCode="&quot;$/m&quot;\ #,##0.00"/>
    <numFmt numFmtId="199" formatCode="0.00000"/>
    <numFmt numFmtId="200" formatCode="[$$-2C0A]\ #,##0.0"/>
    <numFmt numFmtId="201" formatCode="&quot;$&quot;\ #,##0.00"/>
    <numFmt numFmtId="202" formatCode="[$-40A]dddd\,\ dd&quot; de &quot;mmmm&quot; de &quot;yyyy"/>
    <numFmt numFmtId="203" formatCode=";;;"/>
    <numFmt numFmtId="204" formatCode="#,##0.0000"/>
    <numFmt numFmtId="205" formatCode="0.000000000"/>
    <numFmt numFmtId="206" formatCode="[$$-2C0A]\ #,##0.00;\-[$$-2C0A]\ #,##0.00"/>
    <numFmt numFmtId="207" formatCode="[$$-2C0A]\ #,##0;\-[$$-2C0A]\ #,##0"/>
    <numFmt numFmtId="208" formatCode="[$-2C0A]d&quot; de &quot;mmmm&quot; de &quot;yyyy;@"/>
    <numFmt numFmtId="209" formatCode="[$-2C0A]dddd\,\ d\ &quot;de&quot;\ mmmm\ &quot;de&quot;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0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/>
    </border>
    <border>
      <left style="medium"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dashed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88" fontId="19" fillId="0" borderId="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81" fontId="0" fillId="0" borderId="10" xfId="47" applyNumberFormat="1" applyFont="1" applyBorder="1" applyAlignment="1" applyProtection="1">
      <alignment/>
      <protection hidden="1"/>
    </xf>
    <xf numFmtId="181" fontId="0" fillId="0" borderId="11" xfId="47" applyNumberFormat="1" applyFont="1" applyBorder="1" applyAlignment="1" applyProtection="1">
      <alignment/>
      <protection hidden="1"/>
    </xf>
    <xf numFmtId="180" fontId="0" fillId="0" borderId="10" xfId="57" applyNumberFormat="1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180" fontId="0" fillId="0" borderId="12" xfId="57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0" fontId="0" fillId="0" borderId="10" xfId="57" applyNumberFormat="1" applyFont="1" applyBorder="1" applyAlignment="1" applyProtection="1">
      <alignment/>
      <protection hidden="1"/>
    </xf>
    <xf numFmtId="10" fontId="0" fillId="0" borderId="12" xfId="57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0" fontId="0" fillId="0" borderId="0" xfId="57" applyNumberFormat="1" applyFont="1" applyBorder="1" applyAlignment="1" applyProtection="1">
      <alignment/>
      <protection hidden="1"/>
    </xf>
    <xf numFmtId="180" fontId="0" fillId="0" borderId="0" xfId="57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81" fontId="0" fillId="0" borderId="13" xfId="47" applyNumberFormat="1" applyFont="1" applyBorder="1" applyAlignment="1" applyProtection="1">
      <alignment/>
      <protection hidden="1"/>
    </xf>
    <xf numFmtId="3" fontId="0" fillId="0" borderId="11" xfId="47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81" fontId="0" fillId="0" borderId="0" xfId="47" applyNumberFormat="1" applyFont="1" applyBorder="1" applyAlignment="1" applyProtection="1">
      <alignment/>
      <protection hidden="1"/>
    </xf>
    <xf numFmtId="171" fontId="0" fillId="0" borderId="11" xfId="47" applyFont="1" applyBorder="1" applyAlignment="1" applyProtection="1">
      <alignment/>
      <protection hidden="1"/>
    </xf>
    <xf numFmtId="0" fontId="0" fillId="0" borderId="18" xfId="0" applyBorder="1" applyAlignment="1" applyProtection="1">
      <alignment horizontal="right"/>
      <protection hidden="1"/>
    </xf>
    <xf numFmtId="171" fontId="0" fillId="0" borderId="19" xfId="47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171" fontId="0" fillId="0" borderId="20" xfId="47" applyFont="1" applyBorder="1" applyAlignment="1" applyProtection="1">
      <alignment/>
      <protection hidden="1"/>
    </xf>
    <xf numFmtId="171" fontId="0" fillId="0" borderId="13" xfId="47" applyFont="1" applyBorder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171" fontId="0" fillId="0" borderId="21" xfId="47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1" fontId="0" fillId="0" borderId="22" xfId="47" applyFont="1" applyBorder="1" applyAlignment="1" applyProtection="1">
      <alignment/>
      <protection hidden="1"/>
    </xf>
    <xf numFmtId="9" fontId="0" fillId="0" borderId="23" xfId="0" applyNumberForma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9" fillId="0" borderId="23" xfId="0" applyFon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0" fillId="0" borderId="29" xfId="0" applyFont="1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27" xfId="0" applyFont="1" applyBorder="1" applyAlignment="1" applyProtection="1">
      <alignment/>
      <protection hidden="1"/>
    </xf>
    <xf numFmtId="2" fontId="0" fillId="0" borderId="31" xfId="0" applyNumberFormat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center"/>
      <protection hidden="1"/>
    </xf>
    <xf numFmtId="0" fontId="20" fillId="0" borderId="32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189" fontId="0" fillId="0" borderId="36" xfId="53" applyBorder="1" applyAlignment="1">
      <alignment/>
    </xf>
    <xf numFmtId="2" fontId="0" fillId="0" borderId="36" xfId="53" applyNumberFormat="1" applyBorder="1" applyAlignment="1">
      <alignment/>
    </xf>
    <xf numFmtId="1" fontId="0" fillId="0" borderId="36" xfId="53" applyNumberFormat="1" applyBorder="1" applyAlignment="1">
      <alignment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38" fillId="0" borderId="37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vertical="top"/>
      <protection/>
    </xf>
    <xf numFmtId="0" fontId="27" fillId="0" borderId="0" xfId="0" applyFont="1" applyAlignment="1" applyProtection="1">
      <alignment/>
      <protection/>
    </xf>
    <xf numFmtId="208" fontId="27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3" fontId="27" fillId="0" borderId="10" xfId="47" applyNumberFormat="1" applyFont="1" applyFill="1" applyBorder="1" applyAlignment="1" applyProtection="1">
      <alignment horizontal="center"/>
      <protection/>
    </xf>
    <xf numFmtId="3" fontId="27" fillId="0" borderId="11" xfId="47" applyNumberFormat="1" applyFont="1" applyFill="1" applyBorder="1" applyAlignment="1" applyProtection="1">
      <alignment horizontal="center"/>
      <protection/>
    </xf>
    <xf numFmtId="180" fontId="27" fillId="0" borderId="10" xfId="57" applyNumberFormat="1" applyFont="1" applyFill="1" applyBorder="1" applyAlignment="1" applyProtection="1">
      <alignment horizontal="center"/>
      <protection/>
    </xf>
    <xf numFmtId="180" fontId="27" fillId="0" borderId="0" xfId="57" applyNumberFormat="1" applyFont="1" applyFill="1" applyBorder="1" applyAlignment="1" applyProtection="1">
      <alignment/>
      <protection/>
    </xf>
    <xf numFmtId="181" fontId="27" fillId="0" borderId="0" xfId="47" applyNumberFormat="1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center"/>
      <protection/>
    </xf>
    <xf numFmtId="180" fontId="27" fillId="0" borderId="12" xfId="57" applyNumberFormat="1" applyFont="1" applyFill="1" applyBorder="1" applyAlignment="1" applyProtection="1">
      <alignment horizontal="center"/>
      <protection/>
    </xf>
    <xf numFmtId="181" fontId="27" fillId="0" borderId="13" xfId="47" applyNumberFormat="1" applyFont="1" applyFill="1" applyBorder="1" applyAlignment="1" applyProtection="1">
      <alignment/>
      <protection/>
    </xf>
    <xf numFmtId="171" fontId="27" fillId="0" borderId="0" xfId="47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170" fontId="27" fillId="0" borderId="0" xfId="51" applyFont="1" applyFill="1" applyAlignment="1" applyProtection="1">
      <alignment/>
      <protection/>
    </xf>
    <xf numFmtId="10" fontId="27" fillId="0" borderId="0" xfId="57" applyNumberFormat="1" applyFont="1" applyFill="1" applyAlignment="1" applyProtection="1">
      <alignment/>
      <protection/>
    </xf>
    <xf numFmtId="10" fontId="27" fillId="0" borderId="0" xfId="57" applyNumberFormat="1" applyFont="1" applyAlignment="1" applyProtection="1">
      <alignment/>
      <protection/>
    </xf>
    <xf numFmtId="171" fontId="27" fillId="0" borderId="0" xfId="47" applyFont="1" applyAlignment="1" applyProtection="1">
      <alignment/>
      <protection/>
    </xf>
    <xf numFmtId="186" fontId="27" fillId="0" borderId="0" xfId="0" applyNumberFormat="1" applyFont="1" applyFill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71" fontId="27" fillId="0" borderId="0" xfId="0" applyNumberFormat="1" applyFont="1" applyAlignment="1" applyProtection="1">
      <alignment/>
      <protection/>
    </xf>
    <xf numFmtId="0" fontId="27" fillId="0" borderId="0" xfId="0" applyFont="1" applyFill="1" applyAlignment="1" applyProtection="1">
      <alignment horizontal="center"/>
      <protection/>
    </xf>
    <xf numFmtId="0" fontId="29" fillId="0" borderId="0" xfId="0" applyFont="1" applyAlignment="1" applyProtection="1">
      <alignment vertical="center"/>
      <protection/>
    </xf>
    <xf numFmtId="0" fontId="26" fillId="0" borderId="38" xfId="0" applyFont="1" applyBorder="1" applyAlignment="1" applyProtection="1">
      <alignment vertical="center"/>
      <protection/>
    </xf>
    <xf numFmtId="0" fontId="26" fillId="0" borderId="39" xfId="0" applyFont="1" applyBorder="1" applyAlignment="1" applyProtection="1">
      <alignment vertical="center"/>
      <protection/>
    </xf>
    <xf numFmtId="0" fontId="26" fillId="0" borderId="4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41" xfId="0" applyFont="1" applyBorder="1" applyAlignment="1" applyProtection="1">
      <alignment vertical="center"/>
      <protection/>
    </xf>
    <xf numFmtId="0" fontId="26" fillId="0" borderId="42" xfId="0" applyFont="1" applyBorder="1" applyAlignment="1" applyProtection="1">
      <alignment vertical="center"/>
      <protection/>
    </xf>
    <xf numFmtId="0" fontId="26" fillId="0" borderId="4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6" fillId="0" borderId="44" xfId="0" applyFont="1" applyBorder="1" applyAlignment="1" applyProtection="1">
      <alignment vertical="center"/>
      <protection/>
    </xf>
    <xf numFmtId="0" fontId="26" fillId="0" borderId="37" xfId="0" applyFont="1" applyBorder="1" applyAlignment="1" applyProtection="1">
      <alignment vertical="center"/>
      <protection/>
    </xf>
    <xf numFmtId="0" fontId="26" fillId="0" borderId="45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6" fillId="0" borderId="41" xfId="0" applyFont="1" applyBorder="1" applyAlignment="1" applyProtection="1">
      <alignment/>
      <protection/>
    </xf>
    <xf numFmtId="0" fontId="30" fillId="0" borderId="41" xfId="0" applyFont="1" applyBorder="1" applyAlignment="1" applyProtection="1">
      <alignment vertical="center"/>
      <protection/>
    </xf>
    <xf numFmtId="10" fontId="27" fillId="0" borderId="0" xfId="57" applyNumberFormat="1" applyFont="1" applyFill="1" applyAlignment="1" applyProtection="1">
      <alignment horizontal="center"/>
      <protection/>
    </xf>
    <xf numFmtId="0" fontId="40" fillId="0" borderId="0" xfId="0" applyFont="1" applyAlignment="1" applyProtection="1">
      <alignment vertical="center"/>
      <protection/>
    </xf>
    <xf numFmtId="171" fontId="27" fillId="0" borderId="0" xfId="47" applyFont="1" applyFill="1" applyAlignment="1" applyProtection="1">
      <alignment/>
      <protection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48" xfId="0" applyFont="1" applyBorder="1" applyAlignment="1" applyProtection="1">
      <alignment horizontal="center" textRotation="90"/>
      <protection hidden="1"/>
    </xf>
    <xf numFmtId="0" fontId="20" fillId="0" borderId="32" xfId="0" applyFont="1" applyBorder="1" applyAlignment="1" applyProtection="1">
      <alignment horizontal="center" textRotation="90"/>
      <protection hidden="1"/>
    </xf>
    <xf numFmtId="0" fontId="20" fillId="0" borderId="49" xfId="0" applyFont="1" applyBorder="1" applyAlignment="1" applyProtection="1">
      <alignment horizontal="center" textRotation="90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171" fontId="0" fillId="0" borderId="52" xfId="47" applyFont="1" applyBorder="1" applyAlignment="1" applyProtection="1">
      <alignment horizontal="center"/>
      <protection hidden="1"/>
    </xf>
    <xf numFmtId="171" fontId="0" fillId="0" borderId="53" xfId="47" applyFont="1" applyBorder="1" applyAlignment="1" applyProtection="1">
      <alignment horizontal="center"/>
      <protection hidden="1"/>
    </xf>
    <xf numFmtId="171" fontId="0" fillId="0" borderId="41" xfId="47" applyFont="1" applyBorder="1" applyAlignment="1" applyProtection="1">
      <alignment horizontal="center"/>
      <protection hidden="1"/>
    </xf>
    <xf numFmtId="171" fontId="0" fillId="0" borderId="54" xfId="47" applyFont="1" applyBorder="1" applyAlignment="1" applyProtection="1">
      <alignment horizontal="center"/>
      <protection hidden="1"/>
    </xf>
    <xf numFmtId="0" fontId="20" fillId="0" borderId="0" xfId="55" applyFont="1" applyAlignment="1">
      <alignment horizontal="center"/>
      <protection/>
    </xf>
    <xf numFmtId="0" fontId="20" fillId="0" borderId="55" xfId="55" applyFont="1" applyBorder="1" applyAlignment="1">
      <alignment horizontal="center"/>
      <protection/>
    </xf>
    <xf numFmtId="0" fontId="35" fillId="24" borderId="37" xfId="0" applyFont="1" applyFill="1" applyBorder="1" applyAlignment="1" applyProtection="1">
      <alignment horizontal="center"/>
      <protection locked="0"/>
    </xf>
    <xf numFmtId="170" fontId="35" fillId="0" borderId="56" xfId="51" applyFont="1" applyFill="1" applyBorder="1" applyAlignment="1" applyProtection="1">
      <alignment horizontal="center" vertical="center"/>
      <protection/>
    </xf>
    <xf numFmtId="170" fontId="35" fillId="0" borderId="47" xfId="51" applyFont="1" applyFill="1" applyBorder="1" applyAlignment="1" applyProtection="1">
      <alignment horizontal="center" vertical="center"/>
      <protection/>
    </xf>
    <xf numFmtId="170" fontId="35" fillId="0" borderId="57" xfId="51" applyFont="1" applyFill="1" applyBorder="1" applyAlignment="1" applyProtection="1">
      <alignment horizontal="center" vertical="center"/>
      <protection/>
    </xf>
    <xf numFmtId="170" fontId="35" fillId="0" borderId="58" xfId="51" applyFont="1" applyFill="1" applyBorder="1" applyAlignment="1" applyProtection="1">
      <alignment horizontal="center" vertical="center"/>
      <protection/>
    </xf>
    <xf numFmtId="0" fontId="27" fillId="0" borderId="46" xfId="0" applyFont="1" applyFill="1" applyBorder="1" applyAlignment="1" applyProtection="1">
      <alignment horizontal="left" vertical="center"/>
      <protection/>
    </xf>
    <xf numFmtId="0" fontId="27" fillId="0" borderId="56" xfId="0" applyFont="1" applyFill="1" applyBorder="1" applyAlignment="1" applyProtection="1">
      <alignment horizontal="left" vertical="center"/>
      <protection/>
    </xf>
    <xf numFmtId="0" fontId="27" fillId="0" borderId="59" xfId="0" applyFont="1" applyFill="1" applyBorder="1" applyAlignment="1" applyProtection="1">
      <alignment horizontal="left" vertical="center"/>
      <protection/>
    </xf>
    <xf numFmtId="0" fontId="27" fillId="0" borderId="57" xfId="0" applyFont="1" applyFill="1" applyBorder="1" applyAlignment="1" applyProtection="1">
      <alignment horizontal="left" vertical="center"/>
      <protection/>
    </xf>
    <xf numFmtId="0" fontId="27" fillId="0" borderId="41" xfId="0" applyFont="1" applyFill="1" applyBorder="1" applyAlignment="1" applyProtection="1">
      <alignment vertical="center" wrapText="1"/>
      <protection/>
    </xf>
    <xf numFmtId="0" fontId="27" fillId="0" borderId="60" xfId="0" applyFont="1" applyFill="1" applyBorder="1" applyAlignment="1" applyProtection="1">
      <alignment vertical="center" wrapText="1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0" fontId="27" fillId="0" borderId="39" xfId="0" applyFont="1" applyFill="1" applyBorder="1" applyAlignment="1" applyProtection="1">
      <alignment vertical="center" wrapText="1"/>
      <protection/>
    </xf>
    <xf numFmtId="0" fontId="37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37" xfId="0" applyFont="1" applyBorder="1" applyAlignment="1" applyProtection="1">
      <alignment horizontal="center" vertical="center"/>
      <protection/>
    </xf>
    <xf numFmtId="1" fontId="35" fillId="24" borderId="37" xfId="0" applyNumberFormat="1" applyFont="1" applyFill="1" applyBorder="1" applyAlignment="1" applyProtection="1">
      <alignment horizontal="center"/>
      <protection locked="0"/>
    </xf>
    <xf numFmtId="49" fontId="35" fillId="24" borderId="37" xfId="0" applyNumberFormat="1" applyFont="1" applyFill="1" applyBorder="1" applyAlignment="1" applyProtection="1">
      <alignment horizontal="center"/>
      <protection locked="0"/>
    </xf>
    <xf numFmtId="14" fontId="35" fillId="24" borderId="37" xfId="0" applyNumberFormat="1" applyFont="1" applyFill="1" applyBorder="1" applyAlignment="1" applyProtection="1">
      <alignment horizontal="center"/>
      <protection locked="0"/>
    </xf>
    <xf numFmtId="0" fontId="35" fillId="24" borderId="37" xfId="0" applyFon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center"/>
      <protection/>
    </xf>
    <xf numFmtId="0" fontId="35" fillId="0" borderId="26" xfId="0" applyFont="1" applyBorder="1" applyAlignment="1" applyProtection="1">
      <alignment horizontal="center"/>
      <protection/>
    </xf>
    <xf numFmtId="2" fontId="35" fillId="0" borderId="0" xfId="0" applyNumberFormat="1" applyFont="1" applyFill="1" applyBorder="1" applyAlignment="1" applyProtection="1">
      <alignment horizontal="center"/>
      <protection/>
    </xf>
    <xf numFmtId="2" fontId="35" fillId="0" borderId="26" xfId="0" applyNumberFormat="1" applyFont="1" applyFill="1" applyBorder="1" applyAlignment="1" applyProtection="1">
      <alignment horizontal="center"/>
      <protection/>
    </xf>
    <xf numFmtId="0" fontId="27" fillId="0" borderId="41" xfId="0" applyFont="1" applyFill="1" applyBorder="1" applyAlignment="1" applyProtection="1">
      <alignment vertical="center"/>
      <protection/>
    </xf>
    <xf numFmtId="0" fontId="27" fillId="0" borderId="60" xfId="0" applyFont="1" applyFill="1" applyBorder="1" applyAlignment="1" applyProtection="1">
      <alignment vertical="center"/>
      <protection/>
    </xf>
    <xf numFmtId="170" fontId="27" fillId="24" borderId="60" xfId="51" applyFont="1" applyFill="1" applyBorder="1" applyAlignment="1" applyProtection="1">
      <alignment vertical="center"/>
      <protection locked="0"/>
    </xf>
    <xf numFmtId="170" fontId="27" fillId="24" borderId="54" xfId="51" applyFont="1" applyFill="1" applyBorder="1" applyAlignment="1" applyProtection="1">
      <alignment vertical="center"/>
      <protection locked="0"/>
    </xf>
    <xf numFmtId="170" fontId="27" fillId="0" borderId="60" xfId="51" applyFont="1" applyFill="1" applyBorder="1" applyAlignment="1" applyProtection="1">
      <alignment vertical="center"/>
      <protection/>
    </xf>
    <xf numFmtId="170" fontId="27" fillId="0" borderId="54" xfId="51" applyFont="1" applyFill="1" applyBorder="1" applyAlignment="1" applyProtection="1">
      <alignment vertical="center"/>
      <protection/>
    </xf>
    <xf numFmtId="170" fontId="27" fillId="0" borderId="39" xfId="51" applyFont="1" applyFill="1" applyBorder="1" applyAlignment="1" applyProtection="1">
      <alignment vertical="center"/>
      <protection/>
    </xf>
    <xf numFmtId="170" fontId="27" fillId="0" borderId="40" xfId="51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center"/>
      <protection/>
    </xf>
    <xf numFmtId="189" fontId="26" fillId="0" borderId="60" xfId="53" applyFont="1" applyBorder="1" applyAlignment="1" applyProtection="1">
      <alignment horizontal="center"/>
      <protection/>
    </xf>
    <xf numFmtId="189" fontId="26" fillId="0" borderId="54" xfId="53" applyFont="1" applyBorder="1" applyAlignment="1" applyProtection="1">
      <alignment horizontal="center"/>
      <protection/>
    </xf>
    <xf numFmtId="189" fontId="30" fillId="0" borderId="60" xfId="0" applyNumberFormat="1" applyFont="1" applyBorder="1" applyAlignment="1" applyProtection="1">
      <alignment horizontal="center"/>
      <protection/>
    </xf>
    <xf numFmtId="189" fontId="30" fillId="0" borderId="54" xfId="0" applyNumberFormat="1" applyFont="1" applyBorder="1" applyAlignment="1" applyProtection="1">
      <alignment horizontal="center"/>
      <protection/>
    </xf>
    <xf numFmtId="189" fontId="30" fillId="0" borderId="60" xfId="53" applyFont="1" applyBorder="1" applyAlignment="1" applyProtection="1">
      <alignment horizontal="center"/>
      <protection/>
    </xf>
    <xf numFmtId="189" fontId="30" fillId="0" borderId="54" xfId="53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 vertical="center"/>
      <protection/>
    </xf>
    <xf numFmtId="170" fontId="32" fillId="0" borderId="39" xfId="51" applyFont="1" applyFill="1" applyBorder="1" applyAlignment="1" applyProtection="1">
      <alignment horizontal="center" vertical="center"/>
      <protection/>
    </xf>
    <xf numFmtId="170" fontId="32" fillId="0" borderId="40" xfId="51" applyFont="1" applyFill="1" applyBorder="1" applyAlignment="1" applyProtection="1">
      <alignment horizontal="center" vertical="center"/>
      <protection/>
    </xf>
    <xf numFmtId="0" fontId="32" fillId="0" borderId="38" xfId="0" applyFont="1" applyFill="1" applyBorder="1" applyAlignment="1" applyProtection="1">
      <alignment horizontal="right" vertical="center"/>
      <protection/>
    </xf>
    <xf numFmtId="0" fontId="32" fillId="0" borderId="39" xfId="0" applyFont="1" applyFill="1" applyBorder="1" applyAlignment="1" applyProtection="1">
      <alignment horizontal="right" vertical="center"/>
      <protection/>
    </xf>
    <xf numFmtId="170" fontId="33" fillId="0" borderId="18" xfId="51" applyFont="1" applyFill="1" applyBorder="1" applyAlignment="1" applyProtection="1">
      <alignment horizontal="right" vertical="center"/>
      <protection/>
    </xf>
    <xf numFmtId="170" fontId="33" fillId="0" borderId="19" xfId="51" applyFont="1" applyFill="1" applyBorder="1" applyAlignment="1" applyProtection="1">
      <alignment horizontal="right" vertical="center"/>
      <protection/>
    </xf>
    <xf numFmtId="170" fontId="33" fillId="24" borderId="19" xfId="51" applyFont="1" applyFill="1" applyBorder="1" applyAlignment="1" applyProtection="1">
      <alignment horizontal="center" vertical="center"/>
      <protection locked="0"/>
    </xf>
    <xf numFmtId="170" fontId="33" fillId="24" borderId="20" xfId="5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161925</xdr:rowOff>
    </xdr:from>
    <xdr:to>
      <xdr:col>8</xdr:col>
      <xdr:colOff>0</xdr:colOff>
      <xdr:row>54</xdr:row>
      <xdr:rowOff>47625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0" y="8534400"/>
          <a:ext cx="8391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Previo a la firma de todo contrato, el profesional deberá tener vigente su matrícula.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Decreto nº 784/71 Art. 2º: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“El profesional es directamente responsable ante el Colegio de Ingenieros, por la determinación del monto de sus honorarios, en caso de duda deberá consultar al referido Colegio”.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Decreto nº 784/71 Art. 5º: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“Cuando la realización efectiva de los trabajos contratados difiera de aquella prevista para la regulación de honorarios, éstos deberán reajustarse de acuerdo al Arancel”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“Ningún Organismo provincial, municipal o privado, dará aprobación final a ninguna documentación técnica presentada por Ingenieros, que carezca de las constancias de haberse realizado la visación por el Colegio de Ingenieros”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Art. 6º bis – Ley 10.416 y modif. 10.698</a:t>
          </a:r>
        </a:p>
      </xdr:txBody>
    </xdr:sp>
    <xdr:clientData/>
  </xdr:twoCellAnchor>
  <xdr:twoCellAnchor>
    <xdr:from>
      <xdr:col>3</xdr:col>
      <xdr:colOff>971550</xdr:colOff>
      <xdr:row>0</xdr:row>
      <xdr:rowOff>0</xdr:rowOff>
    </xdr:from>
    <xdr:to>
      <xdr:col>4</xdr:col>
      <xdr:colOff>266700</xdr:colOff>
      <xdr:row>2</xdr:row>
      <xdr:rowOff>123825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3962400" y="0"/>
          <a:ext cx="457200" cy="447675"/>
        </a:xfrm>
        <a:prstGeom prst="rect">
          <a:avLst/>
        </a:prstGeom>
        <a:blipFill>
          <a:blip r:embed="rId1">
            <a:alphaModFix amt="37000"/>
          </a:blip>
          <a:srcRect/>
          <a:stretch>
            <a:fillRect/>
          </a:stretch>
        </a:blip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bidas\TOD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bidas\Eloy\RECI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136"/>
  <sheetViews>
    <sheetView showZero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2.7109375" style="1" customWidth="1"/>
    <col min="2" max="2" width="40.57421875" style="1" bestFit="1" customWidth="1"/>
    <col min="3" max="3" width="14.00390625" style="1" bestFit="1" customWidth="1"/>
    <col min="4" max="5" width="12.7109375" style="1" customWidth="1"/>
    <col min="6" max="6" width="19.57421875" style="1" bestFit="1" customWidth="1"/>
    <col min="7" max="7" width="14.00390625" style="1" bestFit="1" customWidth="1"/>
    <col min="8" max="34" width="12.7109375" style="1" customWidth="1"/>
    <col min="35" max="16384" width="11.421875" style="1" customWidth="1"/>
  </cols>
  <sheetData>
    <row r="1" spans="1:3" ht="12.75">
      <c r="A1" s="148" t="s">
        <v>41</v>
      </c>
      <c r="B1" s="149"/>
      <c r="C1" s="69">
        <v>11150</v>
      </c>
    </row>
    <row r="2" spans="1:3" ht="12.75">
      <c r="A2" s="148" t="s">
        <v>0</v>
      </c>
      <c r="B2" s="149"/>
      <c r="C2" s="69">
        <v>2.23</v>
      </c>
    </row>
    <row r="3" spans="1:3" ht="12.75">
      <c r="A3" s="148" t="s">
        <v>48</v>
      </c>
      <c r="B3" s="149"/>
      <c r="C3" s="71">
        <v>1352</v>
      </c>
    </row>
    <row r="4" spans="1:3" ht="12.75">
      <c r="A4" s="148" t="s">
        <v>49</v>
      </c>
      <c r="B4" s="149"/>
      <c r="C4" s="69">
        <v>600</v>
      </c>
    </row>
    <row r="5" spans="1:3" ht="12.75">
      <c r="A5" s="148" t="s">
        <v>50</v>
      </c>
      <c r="B5" s="149"/>
      <c r="C5" s="69">
        <f>100*C4/2.5</f>
        <v>24000</v>
      </c>
    </row>
    <row r="6" spans="1:3" ht="12.75">
      <c r="A6" s="148"/>
      <c r="B6" s="149"/>
      <c r="C6" s="69"/>
    </row>
    <row r="7" spans="1:3" ht="12.75">
      <c r="A7" s="148" t="s">
        <v>51</v>
      </c>
      <c r="B7" s="149"/>
      <c r="C7" s="70">
        <v>1.2</v>
      </c>
    </row>
    <row r="8" spans="1:3" ht="12.75">
      <c r="A8" s="148"/>
      <c r="B8" s="149"/>
      <c r="C8" s="70">
        <v>1.2</v>
      </c>
    </row>
    <row r="9" spans="1:3" ht="12.75">
      <c r="A9" s="148"/>
      <c r="B9" s="149"/>
      <c r="C9" s="69"/>
    </row>
    <row r="10" spans="1:3" ht="12.75">
      <c r="A10" s="148" t="s">
        <v>42</v>
      </c>
      <c r="B10" s="149"/>
      <c r="C10" s="69">
        <v>20338</v>
      </c>
    </row>
    <row r="11" ht="16.5" thickBot="1">
      <c r="B11" s="2"/>
    </row>
    <row r="12" spans="1:12" ht="16.5" thickBot="1">
      <c r="A12" s="130" t="s">
        <v>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2"/>
    </row>
    <row r="13" spans="1:12" ht="12.75">
      <c r="A13" s="133" t="s">
        <v>2</v>
      </c>
      <c r="B13" s="134"/>
      <c r="C13" s="133" t="s">
        <v>3</v>
      </c>
      <c r="D13" s="134"/>
      <c r="E13" s="133" t="s">
        <v>4</v>
      </c>
      <c r="F13" s="134"/>
      <c r="G13" s="133" t="s">
        <v>5</v>
      </c>
      <c r="H13" s="134"/>
      <c r="I13" s="133" t="s">
        <v>6</v>
      </c>
      <c r="J13" s="134"/>
      <c r="K13" s="133" t="s">
        <v>7</v>
      </c>
      <c r="L13" s="134"/>
    </row>
    <row r="14" spans="1:12" ht="12.75">
      <c r="A14" s="3" t="s">
        <v>8</v>
      </c>
      <c r="B14" s="4" t="s">
        <v>9</v>
      </c>
      <c r="C14" s="3" t="s">
        <v>10</v>
      </c>
      <c r="D14" s="4" t="s">
        <v>9</v>
      </c>
      <c r="E14" s="3" t="s">
        <v>10</v>
      </c>
      <c r="F14" s="4" t="s">
        <v>9</v>
      </c>
      <c r="G14" s="3" t="s">
        <v>10</v>
      </c>
      <c r="H14" s="4" t="s">
        <v>9</v>
      </c>
      <c r="I14" s="3" t="s">
        <v>10</v>
      </c>
      <c r="J14" s="4" t="s">
        <v>9</v>
      </c>
      <c r="K14" s="3" t="s">
        <v>10</v>
      </c>
      <c r="L14" s="4" t="s">
        <v>9</v>
      </c>
    </row>
    <row r="15" spans="1:12" ht="12.75">
      <c r="A15" s="5">
        <f>1000000*C2</f>
        <v>2230000</v>
      </c>
      <c r="B15" s="6">
        <f>+A15</f>
        <v>2230000</v>
      </c>
      <c r="C15" s="7">
        <v>0.04</v>
      </c>
      <c r="D15" s="6">
        <f>+$A$15*C15</f>
        <v>89200</v>
      </c>
      <c r="E15" s="7">
        <v>0.065</v>
      </c>
      <c r="F15" s="6">
        <f>+$A$15*E15</f>
        <v>144950</v>
      </c>
      <c r="G15" s="7">
        <v>0.075</v>
      </c>
      <c r="H15" s="6">
        <f>+$A$15*G15</f>
        <v>167250</v>
      </c>
      <c r="I15" s="7">
        <v>0.08</v>
      </c>
      <c r="J15" s="6">
        <f>+$A$15*I15</f>
        <v>178400</v>
      </c>
      <c r="K15" s="7">
        <v>0.085</v>
      </c>
      <c r="L15" s="6">
        <f>+$A$15*K15</f>
        <v>189550</v>
      </c>
    </row>
    <row r="16" spans="1:12" ht="12.75">
      <c r="A16" s="5">
        <f>4000000*C2</f>
        <v>8920000</v>
      </c>
      <c r="B16" s="6">
        <f>+B15+A16</f>
        <v>11150000</v>
      </c>
      <c r="C16" s="7">
        <f>+C15-0.005</f>
        <v>0.035</v>
      </c>
      <c r="D16" s="6">
        <f>+($B16-$B15)*C16+D15</f>
        <v>401400.00000000006</v>
      </c>
      <c r="E16" s="7">
        <f>+E15-0.005</f>
        <v>0.060000000000000005</v>
      </c>
      <c r="F16" s="6">
        <f>+($B16-$B15)*E16+F15</f>
        <v>680150</v>
      </c>
      <c r="G16" s="7">
        <f>+G15-0.005</f>
        <v>0.06999999999999999</v>
      </c>
      <c r="H16" s="6">
        <f>+($B16-$B15)*G16+H15</f>
        <v>791649.9999999999</v>
      </c>
      <c r="I16" s="7">
        <f>+I15-0.005</f>
        <v>0.075</v>
      </c>
      <c r="J16" s="6">
        <f>+($B16-$B15)*I16+J15</f>
        <v>847400</v>
      </c>
      <c r="K16" s="7">
        <f>+K15-0.005</f>
        <v>0.08</v>
      </c>
      <c r="L16" s="6">
        <f>+($B16-$B15)*K16+L15</f>
        <v>903150</v>
      </c>
    </row>
    <row r="17" spans="1:12" ht="12.75">
      <c r="A17" s="5">
        <f>5000000*C2</f>
        <v>11150000</v>
      </c>
      <c r="B17" s="6">
        <f>+B16+A17</f>
        <v>22300000</v>
      </c>
      <c r="C17" s="7">
        <f>+C16-0.005</f>
        <v>0.030000000000000002</v>
      </c>
      <c r="D17" s="6">
        <f>+($B17-$B16)*C17+D16</f>
        <v>735900</v>
      </c>
      <c r="E17" s="7">
        <f>+E16-0.005</f>
        <v>0.05500000000000001</v>
      </c>
      <c r="F17" s="6">
        <f>+($B17-$B16)*E17+F16</f>
        <v>1293400</v>
      </c>
      <c r="G17" s="7">
        <f>+G16-0.005</f>
        <v>0.06499999999999999</v>
      </c>
      <c r="H17" s="6">
        <f>+($B17-$B16)*G17+H16</f>
        <v>1516399.9999999998</v>
      </c>
      <c r="I17" s="7">
        <f>+I16-0.005</f>
        <v>0.06999999999999999</v>
      </c>
      <c r="J17" s="6">
        <f>+($B17-$B16)*I17+J16</f>
        <v>1627900</v>
      </c>
      <c r="K17" s="7">
        <f>+K16-0.005</f>
        <v>0.075</v>
      </c>
      <c r="L17" s="6">
        <f>+($B17-$B16)*K17+L16</f>
        <v>1739400</v>
      </c>
    </row>
    <row r="18" spans="1:12" ht="12.75">
      <c r="A18" s="5">
        <f>20000000*C2</f>
        <v>44600000</v>
      </c>
      <c r="B18" s="6">
        <f>+B17+A18</f>
        <v>66900000</v>
      </c>
      <c r="C18" s="7">
        <f>+C17-0.005</f>
        <v>0.025</v>
      </c>
      <c r="D18" s="6">
        <f>+($B18-$B17)*C18+D17</f>
        <v>1850900</v>
      </c>
      <c r="E18" s="7">
        <f>+E17-0.005</f>
        <v>0.05000000000000001</v>
      </c>
      <c r="F18" s="6">
        <f>+($B18-$B17)*E18+F17</f>
        <v>3523400.0000000005</v>
      </c>
      <c r="G18" s="7">
        <f>+G17-0.005</f>
        <v>0.05999999999999999</v>
      </c>
      <c r="H18" s="6">
        <f>+($B18-$B17)*G18+H17</f>
        <v>4192399.999999999</v>
      </c>
      <c r="I18" s="7">
        <f>+I17-0.005</f>
        <v>0.06499999999999999</v>
      </c>
      <c r="J18" s="6">
        <f>+($B18-$B17)*I18+J17</f>
        <v>4526900</v>
      </c>
      <c r="K18" s="7">
        <f>+K17-0.005</f>
        <v>0.06999999999999999</v>
      </c>
      <c r="L18" s="6">
        <f>+($B18-$B17)*K18+L17</f>
        <v>4861400</v>
      </c>
    </row>
    <row r="19" spans="1:12" ht="12.75">
      <c r="A19" s="5">
        <f>70000000*C2</f>
        <v>156100000</v>
      </c>
      <c r="B19" s="6">
        <f>+B18+A19</f>
        <v>223000000</v>
      </c>
      <c r="C19" s="7">
        <f>+C18-0.005</f>
        <v>0.02</v>
      </c>
      <c r="D19" s="6">
        <f>+($B19-$B18)*C19+D18</f>
        <v>4972900</v>
      </c>
      <c r="E19" s="7">
        <f>+E18-0.005</f>
        <v>0.04500000000000001</v>
      </c>
      <c r="F19" s="6">
        <f>+($B19-$B18)*E19+F18</f>
        <v>10547900.000000002</v>
      </c>
      <c r="G19" s="7">
        <f>+G18-0.005</f>
        <v>0.05499999999999999</v>
      </c>
      <c r="H19" s="6">
        <f>+($B19-$B18)*G19+H18</f>
        <v>12777899.999999996</v>
      </c>
      <c r="I19" s="7">
        <f>+I18-0.005</f>
        <v>0.05999999999999999</v>
      </c>
      <c r="J19" s="6">
        <f>+($B19-$B18)*I19+J18</f>
        <v>13892899.999999998</v>
      </c>
      <c r="K19" s="7">
        <f>+K18-0.005</f>
        <v>0.06499999999999999</v>
      </c>
      <c r="L19" s="6">
        <f>+($B19-$B18)*K19+L18</f>
        <v>15007899.999999998</v>
      </c>
    </row>
    <row r="20" spans="1:12" ht="13.5" thickBot="1">
      <c r="A20" s="8"/>
      <c r="B20" s="9" t="s">
        <v>11</v>
      </c>
      <c r="C20" s="10">
        <f>+C19-0.005</f>
        <v>0.015</v>
      </c>
      <c r="D20" s="11"/>
      <c r="E20" s="10">
        <f>+E19-0.005</f>
        <v>0.040000000000000015</v>
      </c>
      <c r="F20" s="11"/>
      <c r="G20" s="10">
        <f>+G19-0.005</f>
        <v>0.049999999999999996</v>
      </c>
      <c r="H20" s="11"/>
      <c r="I20" s="10">
        <f>+I19-0.005</f>
        <v>0.05499999999999999</v>
      </c>
      <c r="J20" s="11"/>
      <c r="K20" s="10">
        <f>+K19-0.005</f>
        <v>0.05999999999999999</v>
      </c>
      <c r="L20" s="11"/>
    </row>
    <row r="21" ht="7.5" customHeight="1" thickBot="1"/>
    <row r="22" spans="1:12" ht="12.75">
      <c r="A22" s="133" t="s">
        <v>2</v>
      </c>
      <c r="B22" s="134"/>
      <c r="C22" s="133" t="s">
        <v>12</v>
      </c>
      <c r="D22" s="134"/>
      <c r="E22" s="133" t="s">
        <v>13</v>
      </c>
      <c r="F22" s="134"/>
      <c r="G22" s="133" t="s">
        <v>14</v>
      </c>
      <c r="H22" s="134"/>
      <c r="I22" s="133" t="s">
        <v>15</v>
      </c>
      <c r="J22" s="134"/>
      <c r="K22" s="133" t="s">
        <v>16</v>
      </c>
      <c r="L22" s="134"/>
    </row>
    <row r="23" spans="1:12" ht="12.75">
      <c r="A23" s="3" t="s">
        <v>8</v>
      </c>
      <c r="B23" s="4" t="s">
        <v>9</v>
      </c>
      <c r="C23" s="3" t="s">
        <v>10</v>
      </c>
      <c r="D23" s="4" t="s">
        <v>9</v>
      </c>
      <c r="E23" s="3" t="s">
        <v>10</v>
      </c>
      <c r="F23" s="4" t="s">
        <v>9</v>
      </c>
      <c r="G23" s="3" t="s">
        <v>10</v>
      </c>
      <c r="H23" s="4" t="s">
        <v>9</v>
      </c>
      <c r="I23" s="3" t="s">
        <v>10</v>
      </c>
      <c r="J23" s="4" t="s">
        <v>9</v>
      </c>
      <c r="K23" s="3" t="s">
        <v>10</v>
      </c>
      <c r="L23" s="4" t="s">
        <v>9</v>
      </c>
    </row>
    <row r="24" spans="1:12" ht="12.75">
      <c r="A24" s="5">
        <f>1000000*C2</f>
        <v>2230000</v>
      </c>
      <c r="B24" s="6">
        <f>+A24</f>
        <v>2230000</v>
      </c>
      <c r="C24" s="7">
        <v>0.05</v>
      </c>
      <c r="D24" s="6">
        <f>+$A$15*C24</f>
        <v>111500</v>
      </c>
      <c r="E24" s="7">
        <v>0.06</v>
      </c>
      <c r="F24" s="6">
        <f>+$A$15*E24</f>
        <v>133800</v>
      </c>
      <c r="G24" s="7">
        <v>0.07</v>
      </c>
      <c r="H24" s="6">
        <f>+$A$15*G24</f>
        <v>156100.00000000003</v>
      </c>
      <c r="I24" s="7">
        <v>0.1</v>
      </c>
      <c r="J24" s="6">
        <f>+$A$15*I24</f>
        <v>223000</v>
      </c>
      <c r="K24" s="7">
        <v>0.15</v>
      </c>
      <c r="L24" s="6">
        <f>+$A$15*K24</f>
        <v>334500</v>
      </c>
    </row>
    <row r="25" spans="1:12" ht="12.75">
      <c r="A25" s="5">
        <f>4000000*C2</f>
        <v>8920000</v>
      </c>
      <c r="B25" s="6">
        <f>+B24+A25</f>
        <v>11150000</v>
      </c>
      <c r="C25" s="7">
        <f>+C24-0.005</f>
        <v>0.045000000000000005</v>
      </c>
      <c r="D25" s="6">
        <f>+($B25-$B24)*C25+D24</f>
        <v>512900.00000000006</v>
      </c>
      <c r="E25" s="7">
        <f>+E24-0.005</f>
        <v>0.055</v>
      </c>
      <c r="F25" s="6">
        <f>+($B25-$B24)*E25+F24</f>
        <v>624400</v>
      </c>
      <c r="G25" s="7">
        <f>+G24-0.005</f>
        <v>0.065</v>
      </c>
      <c r="H25" s="6">
        <f>+($B25-$B24)*G25+H24</f>
        <v>735900</v>
      </c>
      <c r="I25" s="7">
        <f>+I24-0.005</f>
        <v>0.095</v>
      </c>
      <c r="J25" s="6">
        <f>+($B25-$B24)*I25+J24</f>
        <v>1070400</v>
      </c>
      <c r="K25" s="7">
        <f>+K24-0.01</f>
        <v>0.13999999999999999</v>
      </c>
      <c r="L25" s="6">
        <f>+($B25-$B24)*K25+L24</f>
        <v>1583299.9999999998</v>
      </c>
    </row>
    <row r="26" spans="1:12" ht="12.75">
      <c r="A26" s="5">
        <f>5000000*C2</f>
        <v>11150000</v>
      </c>
      <c r="B26" s="6">
        <f>+B25+A26</f>
        <v>22300000</v>
      </c>
      <c r="C26" s="7">
        <f>+C25-0.005</f>
        <v>0.04000000000000001</v>
      </c>
      <c r="D26" s="6">
        <f>+($B26-$B25)*C26+D25</f>
        <v>958900.0000000001</v>
      </c>
      <c r="E26" s="7">
        <f>+E25-0.005</f>
        <v>0.05</v>
      </c>
      <c r="F26" s="6">
        <f>+($B26-$B25)*E26+F25</f>
        <v>1181900</v>
      </c>
      <c r="G26" s="7">
        <f>+G25-0.005</f>
        <v>0.060000000000000005</v>
      </c>
      <c r="H26" s="6">
        <f>+($B26-$B25)*G26+H25</f>
        <v>1404900</v>
      </c>
      <c r="I26" s="7">
        <f>+I25-0.005</f>
        <v>0.09</v>
      </c>
      <c r="J26" s="6">
        <f>+($B26-$B25)*I26+J25</f>
        <v>2073900</v>
      </c>
      <c r="K26" s="7">
        <f>+K25-0.01</f>
        <v>0.12999999999999998</v>
      </c>
      <c r="L26" s="6">
        <f>+($B26-$B25)*K26+L25</f>
        <v>3032799.9999999995</v>
      </c>
    </row>
    <row r="27" spans="1:12" ht="12.75">
      <c r="A27" s="5">
        <f>20000000*C2</f>
        <v>44600000</v>
      </c>
      <c r="B27" s="6">
        <f>+B26+A27</f>
        <v>66900000</v>
      </c>
      <c r="C27" s="12">
        <v>0.0375</v>
      </c>
      <c r="D27" s="6">
        <f>+($B27-$B26)*C27+D26</f>
        <v>2631400</v>
      </c>
      <c r="E27" s="7">
        <f>+E26-0.005</f>
        <v>0.045000000000000005</v>
      </c>
      <c r="F27" s="6">
        <f>+($B27-$B26)*E27+F26</f>
        <v>3188900</v>
      </c>
      <c r="G27" s="7">
        <f>+G26-0.005</f>
        <v>0.05500000000000001</v>
      </c>
      <c r="H27" s="6">
        <f>+($B27-$B26)*G27+H26</f>
        <v>3857900.0000000005</v>
      </c>
      <c r="I27" s="7">
        <f>+I26-0.005</f>
        <v>0.08499999999999999</v>
      </c>
      <c r="J27" s="6">
        <f>+($B27-$B26)*I27+J26</f>
        <v>5864900</v>
      </c>
      <c r="K27" s="7">
        <f>+K26-0.01</f>
        <v>0.11999999999999998</v>
      </c>
      <c r="L27" s="6">
        <f>+($B27-$B26)*K27+L26</f>
        <v>8384799.999999998</v>
      </c>
    </row>
    <row r="28" spans="1:12" ht="12.75">
      <c r="A28" s="5">
        <f>70000000*C2</f>
        <v>156100000</v>
      </c>
      <c r="B28" s="6">
        <f>+B27+A28</f>
        <v>223000000</v>
      </c>
      <c r="C28" s="7">
        <v>0.035</v>
      </c>
      <c r="D28" s="6">
        <f>+($B28-$B27)*C28+D27</f>
        <v>8094900.000000001</v>
      </c>
      <c r="E28" s="7">
        <f>+E27-0.005</f>
        <v>0.04000000000000001</v>
      </c>
      <c r="F28" s="6">
        <f>+($B28-$B27)*E28+F27</f>
        <v>9432900</v>
      </c>
      <c r="G28" s="7">
        <f>+G27-0.005</f>
        <v>0.05000000000000001</v>
      </c>
      <c r="H28" s="6">
        <f>+($B28-$B27)*G28+H27</f>
        <v>11662900.000000002</v>
      </c>
      <c r="I28" s="7">
        <f>+I27-0.005</f>
        <v>0.07999999999999999</v>
      </c>
      <c r="J28" s="6">
        <f>+($B28-$B27)*I28+J27</f>
        <v>18352900</v>
      </c>
      <c r="K28" s="7">
        <f>+K27-0.01</f>
        <v>0.10999999999999999</v>
      </c>
      <c r="L28" s="6">
        <f>+($B28-$B27)*K28+L27</f>
        <v>25555799.999999993</v>
      </c>
    </row>
    <row r="29" spans="1:12" ht="13.5" thickBot="1">
      <c r="A29" s="8"/>
      <c r="B29" s="9" t="s">
        <v>11</v>
      </c>
      <c r="C29" s="13">
        <v>0.0325</v>
      </c>
      <c r="D29" s="11"/>
      <c r="E29" s="10">
        <f>+E28-0.005</f>
        <v>0.03500000000000001</v>
      </c>
      <c r="F29" s="11"/>
      <c r="G29" s="10">
        <f>+G28-0.005</f>
        <v>0.04500000000000001</v>
      </c>
      <c r="H29" s="11"/>
      <c r="I29" s="10">
        <f>+I28-0.005</f>
        <v>0.07499999999999998</v>
      </c>
      <c r="J29" s="11"/>
      <c r="K29" s="10">
        <f>+K28-0.01</f>
        <v>0.09999999999999999</v>
      </c>
      <c r="L29" s="11"/>
    </row>
    <row r="30" spans="1:12" ht="12.75">
      <c r="A30" s="14"/>
      <c r="B30" s="15"/>
      <c r="C30" s="16"/>
      <c r="D30" s="14"/>
      <c r="E30" s="17"/>
      <c r="F30" s="14"/>
      <c r="G30" s="17"/>
      <c r="H30" s="14"/>
      <c r="I30" s="17"/>
      <c r="J30" s="14"/>
      <c r="K30" s="17"/>
      <c r="L30" s="14"/>
    </row>
    <row r="31" ht="13.5" thickBot="1"/>
    <row r="32" spans="1:4" ht="16.5" thickBot="1">
      <c r="A32" s="130" t="s">
        <v>17</v>
      </c>
      <c r="B32" s="131"/>
      <c r="C32" s="131"/>
      <c r="D32" s="132"/>
    </row>
    <row r="33" spans="1:4" ht="13.5" thickBot="1">
      <c r="A33" s="135" t="s">
        <v>2</v>
      </c>
      <c r="B33" s="136"/>
      <c r="C33" s="133" t="s">
        <v>18</v>
      </c>
      <c r="D33" s="134"/>
    </row>
    <row r="34" spans="1:4" ht="12.75">
      <c r="A34" s="18" t="s">
        <v>8</v>
      </c>
      <c r="B34" s="19" t="s">
        <v>9</v>
      </c>
      <c r="C34" s="20" t="s">
        <v>10</v>
      </c>
      <c r="D34" s="21" t="s">
        <v>9</v>
      </c>
    </row>
    <row r="35" spans="1:4" ht="12.75">
      <c r="A35" s="5">
        <f>1000000*C2</f>
        <v>2230000</v>
      </c>
      <c r="B35" s="6">
        <f>+A35</f>
        <v>2230000</v>
      </c>
      <c r="C35" s="7">
        <v>0.05</v>
      </c>
      <c r="D35" s="6">
        <f>+C35*A35</f>
        <v>111500</v>
      </c>
    </row>
    <row r="36" spans="1:4" ht="12.75">
      <c r="A36" s="5">
        <f>4000000*C2</f>
        <v>8920000</v>
      </c>
      <c r="B36" s="6">
        <f aca="true" t="shared" si="0" ref="B36:B41">+B35+A36</f>
        <v>11150000</v>
      </c>
      <c r="C36" s="7">
        <v>0.04</v>
      </c>
      <c r="D36" s="6">
        <f aca="true" t="shared" si="1" ref="D36:D41">+(B36-B35)*C36+D35</f>
        <v>468300</v>
      </c>
    </row>
    <row r="37" spans="1:4" ht="12.75">
      <c r="A37" s="5">
        <f>5000000*C2</f>
        <v>11150000</v>
      </c>
      <c r="B37" s="6">
        <f t="shared" si="0"/>
        <v>22300000</v>
      </c>
      <c r="C37" s="7">
        <v>0.03</v>
      </c>
      <c r="D37" s="6">
        <f t="shared" si="1"/>
        <v>802800</v>
      </c>
    </row>
    <row r="38" spans="1:4" ht="12.75">
      <c r="A38" s="5">
        <f>10000000*C2</f>
        <v>22300000</v>
      </c>
      <c r="B38" s="6">
        <f t="shared" si="0"/>
        <v>44600000</v>
      </c>
      <c r="C38" s="7">
        <v>0.025</v>
      </c>
      <c r="D38" s="6">
        <f t="shared" si="1"/>
        <v>1360300</v>
      </c>
    </row>
    <row r="39" spans="1:4" ht="12.75">
      <c r="A39" s="5">
        <f>20000000*C2</f>
        <v>44600000</v>
      </c>
      <c r="B39" s="6">
        <f t="shared" si="0"/>
        <v>89200000</v>
      </c>
      <c r="C39" s="7">
        <v>0.02</v>
      </c>
      <c r="D39" s="6">
        <f t="shared" si="1"/>
        <v>2252300</v>
      </c>
    </row>
    <row r="40" spans="1:4" ht="12.75">
      <c r="A40" s="5">
        <f>40000000*C2</f>
        <v>89200000</v>
      </c>
      <c r="B40" s="6">
        <f t="shared" si="0"/>
        <v>178400000</v>
      </c>
      <c r="C40" s="7">
        <v>0.015</v>
      </c>
      <c r="D40" s="6">
        <f t="shared" si="1"/>
        <v>3590300</v>
      </c>
    </row>
    <row r="41" spans="1:4" ht="12.75">
      <c r="A41" s="5">
        <f>80000000*C2</f>
        <v>178400000</v>
      </c>
      <c r="B41" s="6">
        <f t="shared" si="0"/>
        <v>356800000</v>
      </c>
      <c r="C41" s="7">
        <v>0.01</v>
      </c>
      <c r="D41" s="6">
        <f t="shared" si="1"/>
        <v>5374300</v>
      </c>
    </row>
    <row r="42" spans="1:4" ht="13.5" thickBot="1">
      <c r="A42" s="8"/>
      <c r="B42" s="9" t="s">
        <v>11</v>
      </c>
      <c r="C42" s="10">
        <f>+C41-0.005</f>
        <v>0.005</v>
      </c>
      <c r="D42" s="22"/>
    </row>
    <row r="44" ht="13.5" thickBot="1"/>
    <row r="45" spans="1:4" ht="16.5" thickBot="1">
      <c r="A45" s="130" t="s">
        <v>19</v>
      </c>
      <c r="B45" s="131"/>
      <c r="C45" s="131"/>
      <c r="D45" s="132"/>
    </row>
    <row r="46" spans="1:4" ht="13.5" thickBot="1">
      <c r="A46" s="135" t="s">
        <v>2</v>
      </c>
      <c r="B46" s="136"/>
      <c r="C46" s="133" t="s">
        <v>18</v>
      </c>
      <c r="D46" s="134"/>
    </row>
    <row r="47" spans="1:4" ht="12.75">
      <c r="A47" s="18" t="s">
        <v>8</v>
      </c>
      <c r="B47" s="19" t="s">
        <v>9</v>
      </c>
      <c r="C47" s="20" t="s">
        <v>10</v>
      </c>
      <c r="D47" s="21" t="s">
        <v>9</v>
      </c>
    </row>
    <row r="48" spans="1:4" ht="12.75">
      <c r="A48" s="5">
        <f>1000000*C2</f>
        <v>2230000</v>
      </c>
      <c r="B48" s="6">
        <f>+A48</f>
        <v>2230000</v>
      </c>
      <c r="C48" s="7">
        <v>0.035</v>
      </c>
      <c r="D48" s="23">
        <f>+C48*A48</f>
        <v>78050.00000000001</v>
      </c>
    </row>
    <row r="49" spans="1:6" ht="12.75">
      <c r="A49" s="5">
        <f>4000000*C2</f>
        <v>8920000</v>
      </c>
      <c r="B49" s="6">
        <f aca="true" t="shared" si="2" ref="B49:B54">+B48+A49</f>
        <v>11150000</v>
      </c>
      <c r="C49" s="7">
        <v>0.028</v>
      </c>
      <c r="D49" s="23">
        <f aca="true" t="shared" si="3" ref="D49:D54">+(B49-B48)*C49+D48</f>
        <v>327810</v>
      </c>
      <c r="F49" s="24"/>
    </row>
    <row r="50" spans="1:6" ht="12.75">
      <c r="A50" s="5">
        <f>5000000*C2</f>
        <v>11150000</v>
      </c>
      <c r="B50" s="6">
        <f t="shared" si="2"/>
        <v>22300000</v>
      </c>
      <c r="C50" s="7">
        <v>0.022</v>
      </c>
      <c r="D50" s="23">
        <f t="shared" si="3"/>
        <v>573110</v>
      </c>
      <c r="F50" s="24"/>
    </row>
    <row r="51" spans="1:6" ht="12.75">
      <c r="A51" s="5">
        <f>10000000*C2</f>
        <v>22300000</v>
      </c>
      <c r="B51" s="6">
        <f t="shared" si="2"/>
        <v>44600000</v>
      </c>
      <c r="C51" s="7">
        <v>0.017</v>
      </c>
      <c r="D51" s="23">
        <f t="shared" si="3"/>
        <v>952210</v>
      </c>
      <c r="F51" s="24"/>
    </row>
    <row r="52" spans="1:6" ht="12.75">
      <c r="A52" s="5">
        <f>20000000*C2</f>
        <v>44600000</v>
      </c>
      <c r="B52" s="6">
        <f t="shared" si="2"/>
        <v>89200000</v>
      </c>
      <c r="C52" s="7">
        <v>0.013</v>
      </c>
      <c r="D52" s="23">
        <f t="shared" si="3"/>
        <v>1532010</v>
      </c>
      <c r="F52" s="24"/>
    </row>
    <row r="53" spans="1:6" ht="12.75">
      <c r="A53" s="5">
        <f>40000000*C2</f>
        <v>89200000</v>
      </c>
      <c r="B53" s="6">
        <f t="shared" si="2"/>
        <v>178400000</v>
      </c>
      <c r="C53" s="7">
        <v>0.01</v>
      </c>
      <c r="D53" s="23">
        <f t="shared" si="3"/>
        <v>2424010</v>
      </c>
      <c r="F53" s="24"/>
    </row>
    <row r="54" spans="1:4" ht="12.75">
      <c r="A54" s="5">
        <f>80000000*C2</f>
        <v>178400000</v>
      </c>
      <c r="B54" s="6">
        <f t="shared" si="2"/>
        <v>356800000</v>
      </c>
      <c r="C54" s="7">
        <v>0.007</v>
      </c>
      <c r="D54" s="23">
        <f t="shared" si="3"/>
        <v>3672810</v>
      </c>
    </row>
    <row r="55" spans="1:4" ht="13.5" thickBot="1">
      <c r="A55" s="8"/>
      <c r="B55" s="9" t="s">
        <v>11</v>
      </c>
      <c r="C55" s="10">
        <v>0.003</v>
      </c>
      <c r="D55" s="22"/>
    </row>
    <row r="56" spans="1:4" ht="12.75">
      <c r="A56" s="14"/>
      <c r="B56" s="15"/>
      <c r="C56" s="17"/>
      <c r="D56" s="25"/>
    </row>
    <row r="57" ht="13.5" thickBot="1"/>
    <row r="58" spans="1:6" ht="16.5" thickBot="1">
      <c r="A58" s="130" t="s">
        <v>20</v>
      </c>
      <c r="B58" s="131"/>
      <c r="C58" s="131"/>
      <c r="D58" s="131"/>
      <c r="E58" s="131"/>
      <c r="F58" s="132"/>
    </row>
    <row r="59" spans="1:6" ht="13.5" thickBot="1">
      <c r="A59" s="135" t="s">
        <v>2</v>
      </c>
      <c r="B59" s="136"/>
      <c r="C59" s="135" t="s">
        <v>21</v>
      </c>
      <c r="D59" s="136"/>
      <c r="E59" s="135" t="s">
        <v>22</v>
      </c>
      <c r="F59" s="136"/>
    </row>
    <row r="60" spans="1:6" ht="12.75">
      <c r="A60" s="18" t="s">
        <v>8</v>
      </c>
      <c r="B60" s="19" t="s">
        <v>9</v>
      </c>
      <c r="C60" s="20" t="s">
        <v>10</v>
      </c>
      <c r="D60" s="21" t="s">
        <v>9</v>
      </c>
      <c r="E60" s="20" t="s">
        <v>10</v>
      </c>
      <c r="F60" s="21" t="s">
        <v>9</v>
      </c>
    </row>
    <row r="61" spans="1:6" ht="12.75">
      <c r="A61" s="5">
        <f>200000*C2</f>
        <v>446000</v>
      </c>
      <c r="B61" s="6">
        <f>+A61</f>
        <v>446000</v>
      </c>
      <c r="C61" s="12">
        <v>0.0125</v>
      </c>
      <c r="D61" s="26">
        <f>+C61*A61</f>
        <v>5575</v>
      </c>
      <c r="E61" s="12">
        <v>0.0225</v>
      </c>
      <c r="F61" s="26">
        <f>+E61*B61</f>
        <v>10035</v>
      </c>
    </row>
    <row r="62" spans="1:6" ht="12.75">
      <c r="A62" s="5">
        <f>800000*C2</f>
        <v>1784000</v>
      </c>
      <c r="B62" s="6">
        <f>+B61+A62</f>
        <v>2230000</v>
      </c>
      <c r="C62" s="7">
        <v>0.01</v>
      </c>
      <c r="D62" s="26">
        <f>+(B62-B61)*C62+D61</f>
        <v>23415</v>
      </c>
      <c r="E62" s="7">
        <v>0.017</v>
      </c>
      <c r="F62" s="26">
        <f>+(B62-B61)*E62+F61</f>
        <v>40363</v>
      </c>
    </row>
    <row r="63" spans="1:6" ht="12.75">
      <c r="A63" s="5">
        <f>1000000*C2</f>
        <v>2230000</v>
      </c>
      <c r="B63" s="6">
        <f>+B62+A63</f>
        <v>4460000</v>
      </c>
      <c r="C63" s="7">
        <v>0.007</v>
      </c>
      <c r="D63" s="26">
        <f>+(B63-B62)*C63+D62</f>
        <v>39025</v>
      </c>
      <c r="E63" s="7">
        <v>0.012</v>
      </c>
      <c r="F63" s="26">
        <f>+(B63-B62)*E63+F62</f>
        <v>67123</v>
      </c>
    </row>
    <row r="64" spans="1:6" ht="12.75">
      <c r="A64" s="5">
        <f>3000000*C2</f>
        <v>6690000</v>
      </c>
      <c r="B64" s="6">
        <f>+B63+A64</f>
        <v>11150000</v>
      </c>
      <c r="C64" s="7">
        <v>0.005</v>
      </c>
      <c r="D64" s="26">
        <f>+(B64-B63)*C64+D63</f>
        <v>72475</v>
      </c>
      <c r="E64" s="7">
        <v>0.009</v>
      </c>
      <c r="F64" s="26">
        <f>+(B64-B63)*E64+F63</f>
        <v>127333</v>
      </c>
    </row>
    <row r="65" spans="1:6" ht="13.5" thickBot="1">
      <c r="A65" s="8"/>
      <c r="B65" s="9" t="s">
        <v>11</v>
      </c>
      <c r="C65" s="10">
        <v>0.003</v>
      </c>
      <c r="D65" s="22"/>
      <c r="E65" s="10">
        <v>0.006</v>
      </c>
      <c r="F65" s="22"/>
    </row>
    <row r="67" ht="13.5" thickBot="1"/>
    <row r="68" spans="1:4" ht="16.5" thickBot="1">
      <c r="A68" s="130" t="s">
        <v>23</v>
      </c>
      <c r="B68" s="131"/>
      <c r="C68" s="131"/>
      <c r="D68" s="132"/>
    </row>
    <row r="69" spans="1:4" ht="13.5" thickBot="1">
      <c r="A69" s="27" t="s">
        <v>24</v>
      </c>
      <c r="B69" s="28">
        <f>1000*C2</f>
        <v>2230</v>
      </c>
      <c r="C69" s="29" t="s">
        <v>25</v>
      </c>
      <c r="D69" s="30">
        <f>500*C2+2000*C2+3000*C2</f>
        <v>12265</v>
      </c>
    </row>
    <row r="70" spans="1:4" ht="13.5" thickBot="1">
      <c r="A70" s="135" t="s">
        <v>2</v>
      </c>
      <c r="B70" s="136"/>
      <c r="C70" s="135" t="s">
        <v>26</v>
      </c>
      <c r="D70" s="136"/>
    </row>
    <row r="71" spans="1:4" ht="12.75">
      <c r="A71" s="18" t="s">
        <v>8</v>
      </c>
      <c r="B71" s="19" t="s">
        <v>9</v>
      </c>
      <c r="C71" s="20" t="s">
        <v>10</v>
      </c>
      <c r="D71" s="21" t="s">
        <v>9</v>
      </c>
    </row>
    <row r="72" spans="1:4" ht="12.75">
      <c r="A72" s="5">
        <f>100000*C2</f>
        <v>223000</v>
      </c>
      <c r="B72" s="6">
        <f>+A72</f>
        <v>223000</v>
      </c>
      <c r="C72" s="7">
        <v>0.02</v>
      </c>
      <c r="D72" s="26">
        <f>+C72*B72</f>
        <v>4460</v>
      </c>
    </row>
    <row r="73" spans="1:4" ht="12.75">
      <c r="A73" s="5">
        <f>400000*C2</f>
        <v>892000</v>
      </c>
      <c r="B73" s="6">
        <f>+B72+A73</f>
        <v>1115000</v>
      </c>
      <c r="C73" s="7">
        <v>0.015</v>
      </c>
      <c r="D73" s="26">
        <f>+(B73-B72)*C73+D72</f>
        <v>17840</v>
      </c>
    </row>
    <row r="74" spans="1:4" ht="12.75">
      <c r="A74" s="5">
        <f>500000*C2</f>
        <v>1115000</v>
      </c>
      <c r="B74" s="6">
        <f>+B73+A74</f>
        <v>2230000</v>
      </c>
      <c r="C74" s="7">
        <v>0.01</v>
      </c>
      <c r="D74" s="26">
        <f>+(B74-B73)*C74+D73</f>
        <v>28990</v>
      </c>
    </row>
    <row r="75" spans="1:4" ht="12.75">
      <c r="A75" s="5">
        <f>9000000*C2</f>
        <v>20070000</v>
      </c>
      <c r="B75" s="6">
        <f>+B74+A75</f>
        <v>22300000</v>
      </c>
      <c r="C75" s="7">
        <v>0.008</v>
      </c>
      <c r="D75" s="26">
        <f>+(B75-B74)*C75+D74</f>
        <v>189550</v>
      </c>
    </row>
    <row r="76" spans="1:5" ht="13.5" thickBot="1">
      <c r="A76" s="8"/>
      <c r="B76" s="9" t="s">
        <v>11</v>
      </c>
      <c r="C76" s="10">
        <v>0.005</v>
      </c>
      <c r="D76" s="31"/>
      <c r="E76" s="32"/>
    </row>
    <row r="78" ht="13.5" thickBot="1"/>
    <row r="79" spans="1:4" ht="16.5" thickBot="1">
      <c r="A79" s="130" t="s">
        <v>27</v>
      </c>
      <c r="B79" s="131"/>
      <c r="C79" s="131"/>
      <c r="D79" s="132"/>
    </row>
    <row r="80" spans="1:4" ht="13.5" thickBot="1">
      <c r="A80" s="142" t="s">
        <v>2</v>
      </c>
      <c r="B80" s="143"/>
      <c r="C80" s="135"/>
      <c r="D80" s="136"/>
    </row>
    <row r="81" spans="1:4" ht="12.75">
      <c r="A81" s="3" t="s">
        <v>8</v>
      </c>
      <c r="B81" s="4" t="s">
        <v>9</v>
      </c>
      <c r="C81" s="20" t="s">
        <v>10</v>
      </c>
      <c r="D81" s="21" t="s">
        <v>9</v>
      </c>
    </row>
    <row r="82" spans="1:4" ht="12.75">
      <c r="A82" s="5">
        <f>200000*C2</f>
        <v>446000</v>
      </c>
      <c r="B82" s="6">
        <f>+A82</f>
        <v>446000</v>
      </c>
      <c r="C82" s="7"/>
      <c r="D82" s="26">
        <v>56</v>
      </c>
    </row>
    <row r="83" spans="1:4" ht="12.75">
      <c r="A83" s="5">
        <f>800000*C2</f>
        <v>1784000</v>
      </c>
      <c r="B83" s="6">
        <f>+B82+A83</f>
        <v>2230000</v>
      </c>
      <c r="C83" s="7">
        <v>0.02</v>
      </c>
      <c r="D83" s="26">
        <f>+(B83-B82)*C83+D82</f>
        <v>35736</v>
      </c>
    </row>
    <row r="84" spans="1:4" ht="12.75">
      <c r="A84" s="5">
        <f>1000000*C2</f>
        <v>2230000</v>
      </c>
      <c r="B84" s="6">
        <f>+B83+A84</f>
        <v>4460000</v>
      </c>
      <c r="C84" s="7">
        <v>0.015</v>
      </c>
      <c r="D84" s="26">
        <f>+(B84-B83)*C84+D83</f>
        <v>69186</v>
      </c>
    </row>
    <row r="85" spans="1:4" ht="12.75">
      <c r="A85" s="5">
        <f>3000000*C2</f>
        <v>6690000</v>
      </c>
      <c r="B85" s="6">
        <f>+B84+A85</f>
        <v>11150000</v>
      </c>
      <c r="C85" s="7">
        <v>0.01</v>
      </c>
      <c r="D85" s="26">
        <f>+(B85-B84)*C85+D84</f>
        <v>136086</v>
      </c>
    </row>
    <row r="86" spans="1:4" ht="13.5" thickBot="1">
      <c r="A86" s="8"/>
      <c r="B86" s="9" t="s">
        <v>11</v>
      </c>
      <c r="C86" s="10">
        <v>0.005</v>
      </c>
      <c r="D86" s="22"/>
    </row>
    <row r="88" ht="13.5" thickBot="1"/>
    <row r="89" spans="1:4" ht="16.5" thickBot="1">
      <c r="A89" s="130" t="s">
        <v>28</v>
      </c>
      <c r="B89" s="131"/>
      <c r="C89" s="131"/>
      <c r="D89" s="132"/>
    </row>
    <row r="90" spans="1:4" ht="12.75">
      <c r="A90" s="33" t="s">
        <v>29</v>
      </c>
      <c r="B90" s="144">
        <f>1000*C2</f>
        <v>2230</v>
      </c>
      <c r="C90" s="145"/>
      <c r="D90" s="34" t="s">
        <v>30</v>
      </c>
    </row>
    <row r="91" spans="1:4" ht="12.75">
      <c r="A91" s="35" t="s">
        <v>31</v>
      </c>
      <c r="B91" s="146">
        <f>2000*C2</f>
        <v>4460</v>
      </c>
      <c r="C91" s="147"/>
      <c r="D91" s="36" t="s">
        <v>30</v>
      </c>
    </row>
    <row r="92" spans="1:4" ht="12.75">
      <c r="A92" s="140" t="s">
        <v>32</v>
      </c>
      <c r="B92" s="37" t="s">
        <v>33</v>
      </c>
      <c r="C92" s="38">
        <f>3000*C2</f>
        <v>6690</v>
      </c>
      <c r="D92" s="36" t="s">
        <v>30</v>
      </c>
    </row>
    <row r="93" spans="1:4" ht="13.5" thickBot="1">
      <c r="A93" s="141"/>
      <c r="B93" s="39" t="s">
        <v>34</v>
      </c>
      <c r="C93" s="40">
        <f>2000*C2</f>
        <v>4460</v>
      </c>
      <c r="D93" s="11" t="s">
        <v>30</v>
      </c>
    </row>
    <row r="95" ht="13.5" thickBot="1"/>
    <row r="96" spans="1:26" ht="15.75">
      <c r="A96" s="137" t="s">
        <v>35</v>
      </c>
      <c r="B96" s="41">
        <v>0.6</v>
      </c>
      <c r="C96" s="42"/>
      <c r="D96" s="42"/>
      <c r="E96" s="43"/>
      <c r="F96" s="43"/>
      <c r="G96" s="43"/>
      <c r="H96" s="43"/>
      <c r="I96" s="42"/>
      <c r="J96" s="42"/>
      <c r="K96" s="42"/>
      <c r="L96" s="42"/>
      <c r="M96" s="42"/>
      <c r="N96" s="42"/>
      <c r="O96" s="42"/>
      <c r="P96" s="44"/>
      <c r="Q96" s="44"/>
      <c r="R96" s="44"/>
      <c r="S96" s="44"/>
      <c r="T96" s="42"/>
      <c r="U96" s="44"/>
      <c r="V96" s="44"/>
      <c r="W96" s="44"/>
      <c r="X96" s="44"/>
      <c r="Y96" s="44"/>
      <c r="Z96" s="45"/>
    </row>
    <row r="97" spans="1:26" ht="13.5" customHeight="1" thickBot="1">
      <c r="A97" s="138"/>
      <c r="B97" s="46" t="s">
        <v>36</v>
      </c>
      <c r="C97" s="14"/>
      <c r="D97" s="14"/>
      <c r="E97" s="14"/>
      <c r="F97" s="47" t="s">
        <v>37</v>
      </c>
      <c r="G97" s="48"/>
      <c r="H97" s="49" t="s">
        <v>38</v>
      </c>
      <c r="I97" s="48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50"/>
    </row>
    <row r="98" spans="1:26" ht="15.75" customHeight="1" thickTop="1">
      <c r="A98" s="13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50"/>
    </row>
    <row r="99" spans="1:26" ht="13.5" thickBot="1">
      <c r="A99" s="139"/>
      <c r="B99" s="51" t="s">
        <v>39</v>
      </c>
      <c r="C99" s="52">
        <f>20000*C2</f>
        <v>44600</v>
      </c>
      <c r="D99" s="52">
        <f>40000*C2</f>
        <v>89200</v>
      </c>
      <c r="E99" s="52">
        <f>60000*C2</f>
        <v>133800</v>
      </c>
      <c r="F99" s="52">
        <f>80000*C2</f>
        <v>178400</v>
      </c>
      <c r="G99" s="52">
        <f>100000*C2</f>
        <v>223000</v>
      </c>
      <c r="H99" s="52">
        <f>150000*C2</f>
        <v>334500</v>
      </c>
      <c r="I99" s="52">
        <f>200000*C2</f>
        <v>446000</v>
      </c>
      <c r="J99" s="52">
        <f>250000*C2</f>
        <v>557500</v>
      </c>
      <c r="K99" s="52">
        <f>300000*C2</f>
        <v>669000</v>
      </c>
      <c r="L99" s="52">
        <f>350000*C2</f>
        <v>780500</v>
      </c>
      <c r="M99" s="52">
        <f>400000*C2</f>
        <v>892000</v>
      </c>
      <c r="N99" s="52">
        <f>450000*C2</f>
        <v>1003500</v>
      </c>
      <c r="O99" s="52">
        <f>500000*C2</f>
        <v>1115000</v>
      </c>
      <c r="P99" s="52">
        <f>600000*C2</f>
        <v>1338000</v>
      </c>
      <c r="Q99" s="52">
        <f>700000*C2</f>
        <v>1561000</v>
      </c>
      <c r="R99" s="52">
        <f>800000*C2</f>
        <v>1784000</v>
      </c>
      <c r="S99" s="52">
        <f>900000*C2</f>
        <v>2007000</v>
      </c>
      <c r="T99" s="52">
        <f>1000000*C2</f>
        <v>2230000</v>
      </c>
      <c r="U99" s="52">
        <f>1100000*C2</f>
        <v>2453000</v>
      </c>
      <c r="V99" s="52">
        <f>1200000*C2</f>
        <v>2676000</v>
      </c>
      <c r="W99" s="52">
        <f>1300000*C2</f>
        <v>2899000</v>
      </c>
      <c r="X99" s="52">
        <f>1400000*C2</f>
        <v>3122000</v>
      </c>
      <c r="Y99" s="52">
        <f>1500000*C2</f>
        <v>3345000</v>
      </c>
      <c r="Z99" s="53"/>
    </row>
    <row r="100" spans="1:26" ht="13.5" thickTop="1">
      <c r="A100" s="54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3"/>
    </row>
    <row r="101" spans="1:26" ht="12.75">
      <c r="A101" s="58">
        <v>50</v>
      </c>
      <c r="B101" s="59">
        <f>720*C2</f>
        <v>1605.6</v>
      </c>
      <c r="C101" s="60">
        <f>1200*C2</f>
        <v>2676</v>
      </c>
      <c r="D101" s="60">
        <f>1700*C2</f>
        <v>3791</v>
      </c>
      <c r="E101" s="60">
        <f>2200*C2</f>
        <v>4906</v>
      </c>
      <c r="F101" s="60">
        <f>2700*C2</f>
        <v>6021</v>
      </c>
      <c r="G101" s="60">
        <f>3200*C2</f>
        <v>7136</v>
      </c>
      <c r="H101" s="60">
        <f>4200*C2</f>
        <v>9366</v>
      </c>
      <c r="I101" s="60">
        <f>5200*C2</f>
        <v>11596</v>
      </c>
      <c r="J101" s="60">
        <f>6200*C2</f>
        <v>13826</v>
      </c>
      <c r="K101" s="60">
        <f>7200*C2</f>
        <v>16056</v>
      </c>
      <c r="L101" s="60">
        <f>8200*C2</f>
        <v>18286</v>
      </c>
      <c r="M101" s="60">
        <f>9200*C2</f>
        <v>20516</v>
      </c>
      <c r="N101" s="60">
        <f>10200*C2</f>
        <v>22746</v>
      </c>
      <c r="O101" s="60">
        <f>11200*C2</f>
        <v>24976</v>
      </c>
      <c r="P101" s="60">
        <f>12200*C2</f>
        <v>27206</v>
      </c>
      <c r="Q101" s="60">
        <f>13200*C2</f>
        <v>29436</v>
      </c>
      <c r="R101" s="60">
        <f>14200*C2</f>
        <v>31666</v>
      </c>
      <c r="S101" s="60">
        <f>15200*C2</f>
        <v>33896</v>
      </c>
      <c r="T101" s="60">
        <f>16200*C2</f>
        <v>36126</v>
      </c>
      <c r="U101" s="60">
        <f>17200*C2</f>
        <v>38356</v>
      </c>
      <c r="V101" s="60">
        <f>18200*C2</f>
        <v>40586</v>
      </c>
      <c r="W101" s="60">
        <f>19200*C2</f>
        <v>42816</v>
      </c>
      <c r="X101" s="60">
        <f>20200*C2</f>
        <v>45046</v>
      </c>
      <c r="Y101" s="60">
        <f>21200*C2</f>
        <v>47276</v>
      </c>
      <c r="Z101" s="50"/>
    </row>
    <row r="102" spans="1:26" ht="12.75">
      <c r="A102" s="58">
        <v>75</v>
      </c>
      <c r="B102" s="59">
        <f>960*C2</f>
        <v>2140.8</v>
      </c>
      <c r="C102" s="60">
        <f>1600*C2</f>
        <v>3568</v>
      </c>
      <c r="D102" s="60">
        <f>2100*C2</f>
        <v>4683</v>
      </c>
      <c r="E102" s="60">
        <f>2600*C2</f>
        <v>5798</v>
      </c>
      <c r="F102" s="60">
        <f>3100*C2</f>
        <v>6913</v>
      </c>
      <c r="G102" s="60">
        <f>3600*C2</f>
        <v>8028</v>
      </c>
      <c r="H102" s="60">
        <f>4600*C2</f>
        <v>10258</v>
      </c>
      <c r="I102" s="60">
        <f>5600*C2</f>
        <v>12488</v>
      </c>
      <c r="J102" s="60">
        <f>6600*C2</f>
        <v>14718</v>
      </c>
      <c r="K102" s="60">
        <f>7600*C2</f>
        <v>16948</v>
      </c>
      <c r="L102" s="60">
        <f>8600*C2</f>
        <v>19178</v>
      </c>
      <c r="M102" s="60">
        <f>9600*C2</f>
        <v>21408</v>
      </c>
      <c r="N102" s="60">
        <f>10600*C2</f>
        <v>23638</v>
      </c>
      <c r="O102" s="60">
        <f>11600*C2</f>
        <v>25868</v>
      </c>
      <c r="P102" s="60">
        <f>12600*C2</f>
        <v>28098</v>
      </c>
      <c r="Q102" s="60">
        <f>13600*C2</f>
        <v>30328</v>
      </c>
      <c r="R102" s="60">
        <f>14600*C2</f>
        <v>32558</v>
      </c>
      <c r="S102" s="60">
        <f>15600*C2</f>
        <v>34788</v>
      </c>
      <c r="T102" s="60">
        <f>16600*C2</f>
        <v>37018</v>
      </c>
      <c r="U102" s="60">
        <f>17600*C2</f>
        <v>39248</v>
      </c>
      <c r="V102" s="60">
        <f>18600*C2</f>
        <v>41478</v>
      </c>
      <c r="W102" s="60">
        <f>19600*C2</f>
        <v>43708</v>
      </c>
      <c r="X102" s="60">
        <f>20600*C2</f>
        <v>45938</v>
      </c>
      <c r="Y102" s="60">
        <f>21600*C2</f>
        <v>48168</v>
      </c>
      <c r="Z102" s="50"/>
    </row>
    <row r="103" spans="1:26" ht="12.75">
      <c r="A103" s="58">
        <v>100</v>
      </c>
      <c r="B103" s="59">
        <f>1200*C2</f>
        <v>2676</v>
      </c>
      <c r="C103" s="60">
        <f>2000*C2</f>
        <v>4460</v>
      </c>
      <c r="D103" s="60">
        <f>2500*C2</f>
        <v>5575</v>
      </c>
      <c r="E103" s="60">
        <f>3000*C2</f>
        <v>6690</v>
      </c>
      <c r="F103" s="60">
        <f>3500*C2</f>
        <v>7805</v>
      </c>
      <c r="G103" s="60">
        <f>4000*C2</f>
        <v>8920</v>
      </c>
      <c r="H103" s="60">
        <f>5000*C2</f>
        <v>11150</v>
      </c>
      <c r="I103" s="60">
        <f>6000*C2</f>
        <v>13380</v>
      </c>
      <c r="J103" s="60">
        <f>7000*C2</f>
        <v>15610</v>
      </c>
      <c r="K103" s="60">
        <f>8000*C2</f>
        <v>17840</v>
      </c>
      <c r="L103" s="60">
        <f>9000*C2</f>
        <v>20070</v>
      </c>
      <c r="M103" s="60">
        <f>10000*C2</f>
        <v>22300</v>
      </c>
      <c r="N103" s="60">
        <f>11000*C2</f>
        <v>24530</v>
      </c>
      <c r="O103" s="60">
        <f>12000*C2</f>
        <v>26760</v>
      </c>
      <c r="P103" s="60">
        <f>13000*C2</f>
        <v>28990</v>
      </c>
      <c r="Q103" s="60">
        <f>14000*C2</f>
        <v>31220</v>
      </c>
      <c r="R103" s="60">
        <f>15000*C2</f>
        <v>33450</v>
      </c>
      <c r="S103" s="60">
        <f>16000*C2</f>
        <v>35680</v>
      </c>
      <c r="T103" s="60">
        <f>17000*C2</f>
        <v>37910</v>
      </c>
      <c r="U103" s="60">
        <f>18000*C2</f>
        <v>40140</v>
      </c>
      <c r="V103" s="60">
        <f>19000*C2</f>
        <v>42370</v>
      </c>
      <c r="W103" s="60">
        <f>20000*C2</f>
        <v>44600</v>
      </c>
      <c r="X103" s="60">
        <f>21000*C2</f>
        <v>46830</v>
      </c>
      <c r="Y103" s="60">
        <f>22000*C2</f>
        <v>49060</v>
      </c>
      <c r="Z103" s="50"/>
    </row>
    <row r="104" spans="1:26" ht="12.75">
      <c r="A104" s="58">
        <v>125</v>
      </c>
      <c r="B104" s="59">
        <f>1440*C2</f>
        <v>3211.2</v>
      </c>
      <c r="C104" s="60">
        <f>2400*C2</f>
        <v>5352</v>
      </c>
      <c r="D104" s="60">
        <f>2900*C2</f>
        <v>6467</v>
      </c>
      <c r="E104" s="60">
        <f>3400*C2</f>
        <v>7582</v>
      </c>
      <c r="F104" s="60">
        <f>3900*C2</f>
        <v>8697</v>
      </c>
      <c r="G104" s="60">
        <f>4400*C2</f>
        <v>9812</v>
      </c>
      <c r="H104" s="60">
        <f>5400*C2</f>
        <v>12042</v>
      </c>
      <c r="I104" s="60">
        <f>6400*C2</f>
        <v>14272</v>
      </c>
      <c r="J104" s="60">
        <f>7400*C2</f>
        <v>16502</v>
      </c>
      <c r="K104" s="60">
        <f>8400*C2</f>
        <v>18732</v>
      </c>
      <c r="L104" s="60">
        <f>9400*C2</f>
        <v>20962</v>
      </c>
      <c r="M104" s="60">
        <f>10400*C2</f>
        <v>23192</v>
      </c>
      <c r="N104" s="60">
        <f>11400*C2</f>
        <v>25422</v>
      </c>
      <c r="O104" s="60">
        <f>12400*C2</f>
        <v>27652</v>
      </c>
      <c r="P104" s="60">
        <f>13400*C2</f>
        <v>29882</v>
      </c>
      <c r="Q104" s="60">
        <f>14400*C2</f>
        <v>32112</v>
      </c>
      <c r="R104" s="60">
        <f>15400*C2</f>
        <v>34342</v>
      </c>
      <c r="S104" s="60">
        <f>16400*C2</f>
        <v>36572</v>
      </c>
      <c r="T104" s="60">
        <f>17400*C2</f>
        <v>38802</v>
      </c>
      <c r="U104" s="60">
        <f>18400*C2</f>
        <v>41032</v>
      </c>
      <c r="V104" s="60">
        <f>19400*C2</f>
        <v>43262</v>
      </c>
      <c r="W104" s="60">
        <f>20400*C2</f>
        <v>45492</v>
      </c>
      <c r="X104" s="60">
        <f>21400*C2</f>
        <v>47722</v>
      </c>
      <c r="Y104" s="60">
        <f>22400*C2</f>
        <v>49952</v>
      </c>
      <c r="Z104" s="50"/>
    </row>
    <row r="105" spans="1:26" ht="12.75">
      <c r="A105" s="58">
        <v>150</v>
      </c>
      <c r="B105" s="59">
        <f>1680*C2</f>
        <v>3746.4</v>
      </c>
      <c r="C105" s="60">
        <f>2800*C2</f>
        <v>6244</v>
      </c>
      <c r="D105" s="60">
        <f>3300*C2</f>
        <v>7359</v>
      </c>
      <c r="E105" s="60">
        <f>3800*C2</f>
        <v>8474</v>
      </c>
      <c r="F105" s="60">
        <f>4300*C2</f>
        <v>9589</v>
      </c>
      <c r="G105" s="60">
        <f>4800*C2</f>
        <v>10704</v>
      </c>
      <c r="H105" s="60">
        <f>5800*C2</f>
        <v>12934</v>
      </c>
      <c r="I105" s="60">
        <f>6800*C2</f>
        <v>15164</v>
      </c>
      <c r="J105" s="60">
        <f>7800*C2</f>
        <v>17394</v>
      </c>
      <c r="K105" s="60">
        <f>8800*C2</f>
        <v>19624</v>
      </c>
      <c r="L105" s="60">
        <f>9800*C2</f>
        <v>21854</v>
      </c>
      <c r="M105" s="60">
        <f>10800*C2</f>
        <v>24084</v>
      </c>
      <c r="N105" s="60">
        <f>11800*C2</f>
        <v>26314</v>
      </c>
      <c r="O105" s="60">
        <f>12800*C2</f>
        <v>28544</v>
      </c>
      <c r="P105" s="60">
        <f>13800*C2</f>
        <v>30774</v>
      </c>
      <c r="Q105" s="60">
        <f>14800*C2</f>
        <v>33004</v>
      </c>
      <c r="R105" s="60">
        <f>15800*C2</f>
        <v>35234</v>
      </c>
      <c r="S105" s="60">
        <f>16800*C2</f>
        <v>37464</v>
      </c>
      <c r="T105" s="60">
        <f>17800*C2</f>
        <v>39694</v>
      </c>
      <c r="U105" s="60">
        <f>18800*C2</f>
        <v>41924</v>
      </c>
      <c r="V105" s="60">
        <f>19800*C2</f>
        <v>44154</v>
      </c>
      <c r="W105" s="60">
        <f>20800*C2</f>
        <v>46384</v>
      </c>
      <c r="X105" s="60">
        <f>21800*C2</f>
        <v>48614</v>
      </c>
      <c r="Y105" s="60">
        <f>22800*C2</f>
        <v>50844</v>
      </c>
      <c r="Z105" s="50"/>
    </row>
    <row r="106" spans="1:26" ht="12.75">
      <c r="A106" s="58">
        <v>175</v>
      </c>
      <c r="B106" s="59">
        <f>1920*C2</f>
        <v>4281.6</v>
      </c>
      <c r="C106" s="60">
        <f>3200*C2</f>
        <v>7136</v>
      </c>
      <c r="D106" s="60">
        <f>3700*C2</f>
        <v>8251</v>
      </c>
      <c r="E106" s="60">
        <f>4200*C2</f>
        <v>9366</v>
      </c>
      <c r="F106" s="60">
        <f>4700*C2</f>
        <v>10481</v>
      </c>
      <c r="G106" s="60">
        <f>5200*C2</f>
        <v>11596</v>
      </c>
      <c r="H106" s="60">
        <f>6200*C2</f>
        <v>13826</v>
      </c>
      <c r="I106" s="60">
        <f>7200*C2</f>
        <v>16056</v>
      </c>
      <c r="J106" s="60">
        <f>8200*C2</f>
        <v>18286</v>
      </c>
      <c r="K106" s="60">
        <f>9200*C2</f>
        <v>20516</v>
      </c>
      <c r="L106" s="60">
        <f>10200*C2</f>
        <v>22746</v>
      </c>
      <c r="M106" s="60">
        <f>11200*C2</f>
        <v>24976</v>
      </c>
      <c r="N106" s="60">
        <f>12200*C2</f>
        <v>27206</v>
      </c>
      <c r="O106" s="60">
        <f>13200*C2</f>
        <v>29436</v>
      </c>
      <c r="P106" s="60">
        <f>14200*C2</f>
        <v>31666</v>
      </c>
      <c r="Q106" s="60">
        <f>15200*C2</f>
        <v>33896</v>
      </c>
      <c r="R106" s="60">
        <f>16200*C2</f>
        <v>36126</v>
      </c>
      <c r="S106" s="60">
        <f>17200*C2</f>
        <v>38356</v>
      </c>
      <c r="T106" s="60">
        <f>18200*C2</f>
        <v>40586</v>
      </c>
      <c r="U106" s="60">
        <f>19200*C2</f>
        <v>42816</v>
      </c>
      <c r="V106" s="60">
        <f>20200*C2</f>
        <v>45046</v>
      </c>
      <c r="W106" s="60">
        <f>21200*C2</f>
        <v>47276</v>
      </c>
      <c r="X106" s="60">
        <f>22200*C2</f>
        <v>49506</v>
      </c>
      <c r="Y106" s="60">
        <f>23200*C2</f>
        <v>51736</v>
      </c>
      <c r="Z106" s="50"/>
    </row>
    <row r="107" spans="1:26" ht="12.75">
      <c r="A107" s="58">
        <v>200</v>
      </c>
      <c r="B107" s="59">
        <f>2160*C2</f>
        <v>4816.8</v>
      </c>
      <c r="C107" s="60">
        <f>3600*C2</f>
        <v>8028</v>
      </c>
      <c r="D107" s="60">
        <f>4100*C2</f>
        <v>9143</v>
      </c>
      <c r="E107" s="60">
        <f>4600*C2</f>
        <v>10258</v>
      </c>
      <c r="F107" s="60">
        <f>5100*C2</f>
        <v>11373</v>
      </c>
      <c r="G107" s="60">
        <f>5600*C2</f>
        <v>12488</v>
      </c>
      <c r="H107" s="60">
        <f>6600*C2</f>
        <v>14718</v>
      </c>
      <c r="I107" s="60">
        <f>7600*C2</f>
        <v>16948</v>
      </c>
      <c r="J107" s="60">
        <f>8600*C2</f>
        <v>19178</v>
      </c>
      <c r="K107" s="60">
        <f>9600*C2</f>
        <v>21408</v>
      </c>
      <c r="L107" s="60">
        <f>10600*C2</f>
        <v>23638</v>
      </c>
      <c r="M107" s="60">
        <f>11600*C2</f>
        <v>25868</v>
      </c>
      <c r="N107" s="60">
        <f>12600*C2</f>
        <v>28098</v>
      </c>
      <c r="O107" s="60">
        <f>13600*C2</f>
        <v>30328</v>
      </c>
      <c r="P107" s="60">
        <f>14600*C2</f>
        <v>32558</v>
      </c>
      <c r="Q107" s="60">
        <f>15600*C2</f>
        <v>34788</v>
      </c>
      <c r="R107" s="60">
        <f>16600*C2</f>
        <v>37018</v>
      </c>
      <c r="S107" s="60">
        <f>17600*C2</f>
        <v>39248</v>
      </c>
      <c r="T107" s="60">
        <f>18600*C2</f>
        <v>41478</v>
      </c>
      <c r="U107" s="60">
        <f>19600*C2</f>
        <v>43708</v>
      </c>
      <c r="V107" s="60">
        <f>20600*C2</f>
        <v>45938</v>
      </c>
      <c r="W107" s="60">
        <f>21600*C2</f>
        <v>48168</v>
      </c>
      <c r="X107" s="60">
        <f>22600*C2</f>
        <v>50398</v>
      </c>
      <c r="Y107" s="60">
        <f>23600*C2</f>
        <v>52628</v>
      </c>
      <c r="Z107" s="50"/>
    </row>
    <row r="108" spans="1:26" ht="12.75">
      <c r="A108" s="58">
        <v>230</v>
      </c>
      <c r="B108" s="59">
        <f>2400*C2</f>
        <v>5352</v>
      </c>
      <c r="C108" s="60">
        <f>4000*C2</f>
        <v>8920</v>
      </c>
      <c r="D108" s="60">
        <f>4500*C2</f>
        <v>10035</v>
      </c>
      <c r="E108" s="60">
        <f>5000*C2</f>
        <v>11150</v>
      </c>
      <c r="F108" s="60">
        <f>5500*C2</f>
        <v>12265</v>
      </c>
      <c r="G108" s="60">
        <f>6000*C2</f>
        <v>13380</v>
      </c>
      <c r="H108" s="60">
        <f>7000*C2</f>
        <v>15610</v>
      </c>
      <c r="I108" s="60">
        <f>8000*C2</f>
        <v>17840</v>
      </c>
      <c r="J108" s="60">
        <f>9000*C2</f>
        <v>20070</v>
      </c>
      <c r="K108" s="60">
        <f>10000*C2</f>
        <v>22300</v>
      </c>
      <c r="L108" s="60">
        <f>11000*C2</f>
        <v>24530</v>
      </c>
      <c r="M108" s="60">
        <f>12000*C2</f>
        <v>26760</v>
      </c>
      <c r="N108" s="60">
        <f>13000*C2</f>
        <v>28990</v>
      </c>
      <c r="O108" s="60">
        <f>14000*C2</f>
        <v>31220</v>
      </c>
      <c r="P108" s="60">
        <f>15000*C2</f>
        <v>33450</v>
      </c>
      <c r="Q108" s="60">
        <f>16000*C2</f>
        <v>35680</v>
      </c>
      <c r="R108" s="60">
        <f>17000*C2</f>
        <v>37910</v>
      </c>
      <c r="S108" s="60">
        <f>18000*C2</f>
        <v>40140</v>
      </c>
      <c r="T108" s="60">
        <f>19000*C2</f>
        <v>42370</v>
      </c>
      <c r="U108" s="60">
        <f>20000*C2</f>
        <v>44600</v>
      </c>
      <c r="V108" s="60">
        <f>21000*C2</f>
        <v>46830</v>
      </c>
      <c r="W108" s="60">
        <f>22000*C2</f>
        <v>49060</v>
      </c>
      <c r="X108" s="60">
        <f>23000*C2</f>
        <v>51290</v>
      </c>
      <c r="Y108" s="60">
        <f>24000*C2</f>
        <v>53520</v>
      </c>
      <c r="Z108" s="50"/>
    </row>
    <row r="109" spans="1:26" ht="12.75">
      <c r="A109" s="58">
        <v>260</v>
      </c>
      <c r="B109" s="59">
        <f>2640*C2</f>
        <v>5887.2</v>
      </c>
      <c r="C109" s="60">
        <f>4400*C2</f>
        <v>9812</v>
      </c>
      <c r="D109" s="60">
        <f>4900*C2</f>
        <v>10927</v>
      </c>
      <c r="E109" s="60">
        <f>5400*C2</f>
        <v>12042</v>
      </c>
      <c r="F109" s="60">
        <f>5900*C2</f>
        <v>13157</v>
      </c>
      <c r="G109" s="60">
        <f>6400*C2</f>
        <v>14272</v>
      </c>
      <c r="H109" s="60">
        <f>7400*C2</f>
        <v>16502</v>
      </c>
      <c r="I109" s="60">
        <f>8400*C2</f>
        <v>18732</v>
      </c>
      <c r="J109" s="60">
        <f>9400*C2</f>
        <v>20962</v>
      </c>
      <c r="K109" s="60">
        <f>10400*C2</f>
        <v>23192</v>
      </c>
      <c r="L109" s="60">
        <f>11400*C2</f>
        <v>25422</v>
      </c>
      <c r="M109" s="60">
        <f>12400*C2</f>
        <v>27652</v>
      </c>
      <c r="N109" s="60">
        <f>13400*C2</f>
        <v>29882</v>
      </c>
      <c r="O109" s="60">
        <f>14400*C2</f>
        <v>32112</v>
      </c>
      <c r="P109" s="60">
        <f>15400*C2</f>
        <v>34342</v>
      </c>
      <c r="Q109" s="60">
        <f>16400*C2</f>
        <v>36572</v>
      </c>
      <c r="R109" s="60">
        <f>17400*C2</f>
        <v>38802</v>
      </c>
      <c r="S109" s="60">
        <f>18400*C2</f>
        <v>41032</v>
      </c>
      <c r="T109" s="60">
        <f>19400*C2</f>
        <v>43262</v>
      </c>
      <c r="U109" s="60">
        <f>20400*C2</f>
        <v>45492</v>
      </c>
      <c r="V109" s="60">
        <f>21400*C2</f>
        <v>47722</v>
      </c>
      <c r="W109" s="60">
        <f>22400*C2</f>
        <v>49952</v>
      </c>
      <c r="X109" s="60">
        <f>23400*C2</f>
        <v>52182</v>
      </c>
      <c r="Y109" s="60">
        <f>24400*C2</f>
        <v>54412</v>
      </c>
      <c r="Z109" s="50"/>
    </row>
    <row r="110" spans="1:26" ht="12.75">
      <c r="A110" s="58">
        <v>300</v>
      </c>
      <c r="B110" s="59">
        <f>2880*C2</f>
        <v>6422.4</v>
      </c>
      <c r="C110" s="60">
        <f>4800*C2</f>
        <v>10704</v>
      </c>
      <c r="D110" s="60">
        <f>5300*C2</f>
        <v>11819</v>
      </c>
      <c r="E110" s="60">
        <f>5800*C2</f>
        <v>12934</v>
      </c>
      <c r="F110" s="60">
        <f>6300*C2</f>
        <v>14049</v>
      </c>
      <c r="G110" s="60">
        <f>6800*C2</f>
        <v>15164</v>
      </c>
      <c r="H110" s="60">
        <f>7800*C2</f>
        <v>17394</v>
      </c>
      <c r="I110" s="60">
        <f>8800*C2</f>
        <v>19624</v>
      </c>
      <c r="J110" s="60">
        <f>9800*C2</f>
        <v>21854</v>
      </c>
      <c r="K110" s="60">
        <f>10800*C2</f>
        <v>24084</v>
      </c>
      <c r="L110" s="60">
        <f>11800*C2</f>
        <v>26314</v>
      </c>
      <c r="M110" s="60">
        <f>12800*C2</f>
        <v>28544</v>
      </c>
      <c r="N110" s="60">
        <f>13800*C2</f>
        <v>30774</v>
      </c>
      <c r="O110" s="60">
        <f>14800*C2</f>
        <v>33004</v>
      </c>
      <c r="P110" s="60">
        <f>15800*C2</f>
        <v>35234</v>
      </c>
      <c r="Q110" s="60">
        <f>16800*C2</f>
        <v>37464</v>
      </c>
      <c r="R110" s="60">
        <f>17800*C2</f>
        <v>39694</v>
      </c>
      <c r="S110" s="60">
        <f>18800*C2</f>
        <v>41924</v>
      </c>
      <c r="T110" s="60">
        <f>19800*C2</f>
        <v>44154</v>
      </c>
      <c r="U110" s="60">
        <f>20800*C2</f>
        <v>46384</v>
      </c>
      <c r="V110" s="60">
        <f>21800*C2</f>
        <v>48614</v>
      </c>
      <c r="W110" s="60">
        <f>22800*C2</f>
        <v>50844</v>
      </c>
      <c r="X110" s="60">
        <f>23800*C2</f>
        <v>53074</v>
      </c>
      <c r="Y110" s="60">
        <f>24800*C2</f>
        <v>55304</v>
      </c>
      <c r="Z110" s="50"/>
    </row>
    <row r="111" spans="1:26" ht="12.75">
      <c r="A111" s="58">
        <v>350</v>
      </c>
      <c r="B111" s="59">
        <f>3120*C2</f>
        <v>6957.6</v>
      </c>
      <c r="C111" s="60">
        <f>5200*C2</f>
        <v>11596</v>
      </c>
      <c r="D111" s="60">
        <f>5700*C2</f>
        <v>12711</v>
      </c>
      <c r="E111" s="60">
        <f>6200*C2</f>
        <v>13826</v>
      </c>
      <c r="F111" s="60">
        <f>6700*C2</f>
        <v>14941</v>
      </c>
      <c r="G111" s="60">
        <f>7200*C2</f>
        <v>16056</v>
      </c>
      <c r="H111" s="60">
        <f>8200*C2</f>
        <v>18286</v>
      </c>
      <c r="I111" s="60">
        <f>9200*C2</f>
        <v>20516</v>
      </c>
      <c r="J111" s="60">
        <f>10200*C2</f>
        <v>22746</v>
      </c>
      <c r="K111" s="60">
        <f>11200*C2</f>
        <v>24976</v>
      </c>
      <c r="L111" s="60">
        <f>12200*C2</f>
        <v>27206</v>
      </c>
      <c r="M111" s="60">
        <f>13200*C2</f>
        <v>29436</v>
      </c>
      <c r="N111" s="60">
        <f>14200*C2</f>
        <v>31666</v>
      </c>
      <c r="O111" s="60">
        <f>15200*C2</f>
        <v>33896</v>
      </c>
      <c r="P111" s="60">
        <f>16200*C2</f>
        <v>36126</v>
      </c>
      <c r="Q111" s="60">
        <f>17200*C2</f>
        <v>38356</v>
      </c>
      <c r="R111" s="60">
        <f>18200*C2</f>
        <v>40586</v>
      </c>
      <c r="S111" s="60">
        <f>19200*C2</f>
        <v>42816</v>
      </c>
      <c r="T111" s="60">
        <f>20200*C2</f>
        <v>45046</v>
      </c>
      <c r="U111" s="60">
        <f>21200*C2</f>
        <v>47276</v>
      </c>
      <c r="V111" s="60">
        <f>22200*C2</f>
        <v>49506</v>
      </c>
      <c r="W111" s="60">
        <f>23200*C2</f>
        <v>51736</v>
      </c>
      <c r="X111" s="60">
        <f>24200*C2</f>
        <v>53966</v>
      </c>
      <c r="Y111" s="60">
        <f>25200*C2</f>
        <v>56196</v>
      </c>
      <c r="Z111" s="50"/>
    </row>
    <row r="112" spans="1:26" ht="12.75">
      <c r="A112" s="58">
        <v>400</v>
      </c>
      <c r="B112" s="59">
        <f>3360*C2</f>
        <v>7492.8</v>
      </c>
      <c r="C112" s="60">
        <f>5600*C2</f>
        <v>12488</v>
      </c>
      <c r="D112" s="60">
        <f>6100*C2</f>
        <v>13603</v>
      </c>
      <c r="E112" s="60">
        <f>6600*C2</f>
        <v>14718</v>
      </c>
      <c r="F112" s="60">
        <f>7100*C2</f>
        <v>15833</v>
      </c>
      <c r="G112" s="60">
        <f>7600*C2</f>
        <v>16948</v>
      </c>
      <c r="H112" s="60">
        <f>8600*C2</f>
        <v>19178</v>
      </c>
      <c r="I112" s="60">
        <f>9600*C2</f>
        <v>21408</v>
      </c>
      <c r="J112" s="60">
        <f>10600*C2</f>
        <v>23638</v>
      </c>
      <c r="K112" s="60">
        <f>11600*C2</f>
        <v>25868</v>
      </c>
      <c r="L112" s="60">
        <f>12600*C2</f>
        <v>28098</v>
      </c>
      <c r="M112" s="60">
        <f>13600*C2</f>
        <v>30328</v>
      </c>
      <c r="N112" s="60">
        <f>14600*C2</f>
        <v>32558</v>
      </c>
      <c r="O112" s="60">
        <f>15600*C2</f>
        <v>34788</v>
      </c>
      <c r="P112" s="60">
        <f>16600*C2</f>
        <v>37018</v>
      </c>
      <c r="Q112" s="60">
        <f>17600*C2</f>
        <v>39248</v>
      </c>
      <c r="R112" s="60">
        <f>18600*C2</f>
        <v>41478</v>
      </c>
      <c r="S112" s="60">
        <f>19600*C2</f>
        <v>43708</v>
      </c>
      <c r="T112" s="60">
        <f>20600*C2</f>
        <v>45938</v>
      </c>
      <c r="U112" s="60">
        <f>21600*C2</f>
        <v>48168</v>
      </c>
      <c r="V112" s="60">
        <f>22600*C2</f>
        <v>50398</v>
      </c>
      <c r="W112" s="60">
        <f>23600*C2</f>
        <v>52628</v>
      </c>
      <c r="X112" s="60">
        <f>24600*C2</f>
        <v>54858</v>
      </c>
      <c r="Y112" s="60">
        <f>25600*C2</f>
        <v>57088</v>
      </c>
      <c r="Z112" s="50"/>
    </row>
    <row r="113" spans="1:26" ht="12.75">
      <c r="A113" s="58">
        <v>500</v>
      </c>
      <c r="B113" s="59">
        <f>3600*C2</f>
        <v>8028</v>
      </c>
      <c r="C113" s="60">
        <f>6000*C2</f>
        <v>13380</v>
      </c>
      <c r="D113" s="60">
        <f>6500*C2</f>
        <v>14495</v>
      </c>
      <c r="E113" s="60">
        <f>7000*C2</f>
        <v>15610</v>
      </c>
      <c r="F113" s="60">
        <f>7500*C2</f>
        <v>16725</v>
      </c>
      <c r="G113" s="60">
        <f>8000*C2</f>
        <v>17840</v>
      </c>
      <c r="H113" s="60">
        <f>9000*C2</f>
        <v>20070</v>
      </c>
      <c r="I113" s="60">
        <f>10000*C2</f>
        <v>22300</v>
      </c>
      <c r="J113" s="60">
        <f>11000*C2</f>
        <v>24530</v>
      </c>
      <c r="K113" s="60">
        <f>12000*C2</f>
        <v>26760</v>
      </c>
      <c r="L113" s="60">
        <f>13000*C2</f>
        <v>28990</v>
      </c>
      <c r="M113" s="60">
        <f>14000*C2</f>
        <v>31220</v>
      </c>
      <c r="N113" s="60">
        <f>15000*C2</f>
        <v>33450</v>
      </c>
      <c r="O113" s="60">
        <f>16000*C2</f>
        <v>35680</v>
      </c>
      <c r="P113" s="60">
        <f>17000*C2</f>
        <v>37910</v>
      </c>
      <c r="Q113" s="60">
        <f>18000*C2</f>
        <v>40140</v>
      </c>
      <c r="R113" s="60">
        <f>19000*C2</f>
        <v>42370</v>
      </c>
      <c r="S113" s="60">
        <f>20000*C2</f>
        <v>44600</v>
      </c>
      <c r="T113" s="60">
        <f>21000*C2</f>
        <v>46830</v>
      </c>
      <c r="U113" s="60">
        <f>22000*C2</f>
        <v>49060</v>
      </c>
      <c r="V113" s="60">
        <f>23000*C2</f>
        <v>51290</v>
      </c>
      <c r="W113" s="60">
        <f>24000*C2</f>
        <v>53520</v>
      </c>
      <c r="X113" s="60">
        <f>25000*C2</f>
        <v>55750</v>
      </c>
      <c r="Y113" s="60">
        <f>26000*C2</f>
        <v>57980</v>
      </c>
      <c r="Z113" s="50"/>
    </row>
    <row r="114" spans="1:26" ht="12.75">
      <c r="A114" s="58">
        <v>600</v>
      </c>
      <c r="B114" s="59">
        <f>3840*C2</f>
        <v>8563.2</v>
      </c>
      <c r="C114" s="60">
        <f>6400*C2</f>
        <v>14272</v>
      </c>
      <c r="D114" s="60">
        <f>6900*C2</f>
        <v>15387</v>
      </c>
      <c r="E114" s="60">
        <f>7400*C2</f>
        <v>16502</v>
      </c>
      <c r="F114" s="60">
        <f>7900*C2</f>
        <v>17617</v>
      </c>
      <c r="G114" s="60">
        <f>8400*C2</f>
        <v>18732</v>
      </c>
      <c r="H114" s="60">
        <f>9400*C2</f>
        <v>20962</v>
      </c>
      <c r="I114" s="60">
        <f>10400*C2</f>
        <v>23192</v>
      </c>
      <c r="J114" s="60">
        <f>11400*C2</f>
        <v>25422</v>
      </c>
      <c r="K114" s="60">
        <f>12400*C2</f>
        <v>27652</v>
      </c>
      <c r="L114" s="60">
        <f>13400*C2</f>
        <v>29882</v>
      </c>
      <c r="M114" s="60">
        <f>14400*C2</f>
        <v>32112</v>
      </c>
      <c r="N114" s="60">
        <f>15400*C2</f>
        <v>34342</v>
      </c>
      <c r="O114" s="60">
        <f>16400*C2</f>
        <v>36572</v>
      </c>
      <c r="P114" s="60">
        <f>17400*C2</f>
        <v>38802</v>
      </c>
      <c r="Q114" s="60">
        <f>18400*C2</f>
        <v>41032</v>
      </c>
      <c r="R114" s="60">
        <f>19400*C2</f>
        <v>43262</v>
      </c>
      <c r="S114" s="60">
        <f>20400*C2</f>
        <v>45492</v>
      </c>
      <c r="T114" s="60">
        <f>21400*C2</f>
        <v>47722</v>
      </c>
      <c r="U114" s="60">
        <f>22400*C2</f>
        <v>49952</v>
      </c>
      <c r="V114" s="60">
        <f>23400*C2</f>
        <v>52182</v>
      </c>
      <c r="W114" s="60">
        <f>24400*C2</f>
        <v>54412</v>
      </c>
      <c r="X114" s="60">
        <f>25400*C2</f>
        <v>56642</v>
      </c>
      <c r="Y114" s="60">
        <f>26400*C2</f>
        <v>58872</v>
      </c>
      <c r="Z114" s="50"/>
    </row>
    <row r="115" spans="1:26" ht="12.75">
      <c r="A115" s="58">
        <v>800</v>
      </c>
      <c r="B115" s="59">
        <f>4320*C2</f>
        <v>9633.6</v>
      </c>
      <c r="C115" s="60">
        <f>7200*C2</f>
        <v>16056</v>
      </c>
      <c r="D115" s="60">
        <f>7700*C2</f>
        <v>17171</v>
      </c>
      <c r="E115" s="60">
        <f>8200*C2</f>
        <v>18286</v>
      </c>
      <c r="F115" s="60">
        <f>8700*C2</f>
        <v>19401</v>
      </c>
      <c r="G115" s="60">
        <f>9200*C2</f>
        <v>20516</v>
      </c>
      <c r="H115" s="60">
        <f>10200*C2</f>
        <v>22746</v>
      </c>
      <c r="I115" s="60">
        <f>11200*C2</f>
        <v>24976</v>
      </c>
      <c r="J115" s="60">
        <f>12200*C2</f>
        <v>27206</v>
      </c>
      <c r="K115" s="60">
        <f>13200*C2</f>
        <v>29436</v>
      </c>
      <c r="L115" s="60">
        <f>14200*C2</f>
        <v>31666</v>
      </c>
      <c r="M115" s="60">
        <f>15200*C2</f>
        <v>33896</v>
      </c>
      <c r="N115" s="60">
        <f>16200*C2</f>
        <v>36126</v>
      </c>
      <c r="O115" s="60">
        <f>17200*C2</f>
        <v>38356</v>
      </c>
      <c r="P115" s="60">
        <f>18200*C2</f>
        <v>40586</v>
      </c>
      <c r="Q115" s="60">
        <f>19200*C2</f>
        <v>42816</v>
      </c>
      <c r="R115" s="60">
        <f>20200*C2</f>
        <v>45046</v>
      </c>
      <c r="S115" s="60">
        <f>21200*C2</f>
        <v>47276</v>
      </c>
      <c r="T115" s="60">
        <f>22200*C2</f>
        <v>49506</v>
      </c>
      <c r="U115" s="60">
        <f>23200*C2</f>
        <v>51736</v>
      </c>
      <c r="V115" s="60">
        <f>24200*C2</f>
        <v>53966</v>
      </c>
      <c r="W115" s="60">
        <f>25200*C2</f>
        <v>56196</v>
      </c>
      <c r="X115" s="60">
        <f>26200*C2</f>
        <v>58426</v>
      </c>
      <c r="Y115" s="60">
        <f>27200*C2</f>
        <v>60656</v>
      </c>
      <c r="Z115" s="50"/>
    </row>
    <row r="116" spans="1:26" ht="12.75">
      <c r="A116" s="58">
        <v>1000</v>
      </c>
      <c r="B116" s="59">
        <f>4800*C2</f>
        <v>10704</v>
      </c>
      <c r="C116" s="60">
        <f>8000*C2</f>
        <v>17840</v>
      </c>
      <c r="D116" s="60">
        <f>8500*C2</f>
        <v>18955</v>
      </c>
      <c r="E116" s="60">
        <f>9000*C2</f>
        <v>20070</v>
      </c>
      <c r="F116" s="60">
        <f>9500*C2</f>
        <v>21185</v>
      </c>
      <c r="G116" s="60">
        <f>10000*C2</f>
        <v>22300</v>
      </c>
      <c r="H116" s="60">
        <f>11000*C2</f>
        <v>24530</v>
      </c>
      <c r="I116" s="60">
        <f>12000*C2</f>
        <v>26760</v>
      </c>
      <c r="J116" s="60">
        <f>13000*C2</f>
        <v>28990</v>
      </c>
      <c r="K116" s="60">
        <f>14000*C2</f>
        <v>31220</v>
      </c>
      <c r="L116" s="60">
        <f>15000*C2</f>
        <v>33450</v>
      </c>
      <c r="M116" s="60">
        <f>16000*C2</f>
        <v>35680</v>
      </c>
      <c r="N116" s="60">
        <f>17000*C2</f>
        <v>37910</v>
      </c>
      <c r="O116" s="60">
        <f>18000*C2</f>
        <v>40140</v>
      </c>
      <c r="P116" s="60">
        <f>19000*C2</f>
        <v>42370</v>
      </c>
      <c r="Q116" s="60">
        <f>20000*C2</f>
        <v>44600</v>
      </c>
      <c r="R116" s="60">
        <f>21000*C2</f>
        <v>46830</v>
      </c>
      <c r="S116" s="60">
        <f>22000*C2</f>
        <v>49060</v>
      </c>
      <c r="T116" s="60">
        <f>23000*C2</f>
        <v>51290</v>
      </c>
      <c r="U116" s="60">
        <f>24000*C2</f>
        <v>53520</v>
      </c>
      <c r="V116" s="60">
        <f>25000*C2</f>
        <v>55750</v>
      </c>
      <c r="W116" s="60">
        <f>26000*C2</f>
        <v>57980</v>
      </c>
      <c r="X116" s="60">
        <f>27000*C2</f>
        <v>60210</v>
      </c>
      <c r="Y116" s="60">
        <f>28000*C2</f>
        <v>62440</v>
      </c>
      <c r="Z116" s="50"/>
    </row>
    <row r="117" spans="1:26" ht="12.75">
      <c r="A117" s="58">
        <v>1250</v>
      </c>
      <c r="B117" s="59">
        <f>5400*C2</f>
        <v>12042</v>
      </c>
      <c r="C117" s="60">
        <f>9000*C2</f>
        <v>20070</v>
      </c>
      <c r="D117" s="60">
        <f>9500*C2</f>
        <v>21185</v>
      </c>
      <c r="E117" s="60">
        <f>10000*C2</f>
        <v>22300</v>
      </c>
      <c r="F117" s="60">
        <f>10500*C2</f>
        <v>23415</v>
      </c>
      <c r="G117" s="60">
        <f>11000*C2</f>
        <v>24530</v>
      </c>
      <c r="H117" s="60">
        <f>12000*C2</f>
        <v>26760</v>
      </c>
      <c r="I117" s="60">
        <f>13000*C2</f>
        <v>28990</v>
      </c>
      <c r="J117" s="60">
        <f>14000*C2</f>
        <v>31220</v>
      </c>
      <c r="K117" s="60">
        <f>15000*C2</f>
        <v>33450</v>
      </c>
      <c r="L117" s="60">
        <f>16000*C2</f>
        <v>35680</v>
      </c>
      <c r="M117" s="60">
        <f>17000*C2</f>
        <v>37910</v>
      </c>
      <c r="N117" s="60">
        <f>18000*C2</f>
        <v>40140</v>
      </c>
      <c r="O117" s="60">
        <f>19000*C2</f>
        <v>42370</v>
      </c>
      <c r="P117" s="60">
        <f>20000*C2</f>
        <v>44600</v>
      </c>
      <c r="Q117" s="60">
        <f>21000*C2</f>
        <v>46830</v>
      </c>
      <c r="R117" s="60">
        <f>22000*C2</f>
        <v>49060</v>
      </c>
      <c r="S117" s="60">
        <f>23000*C2</f>
        <v>51290</v>
      </c>
      <c r="T117" s="60">
        <f>24000*C2</f>
        <v>53520</v>
      </c>
      <c r="U117" s="60">
        <f>25000*C2</f>
        <v>55750</v>
      </c>
      <c r="V117" s="60">
        <f>26000*C2</f>
        <v>57980</v>
      </c>
      <c r="W117" s="60">
        <f>27000*C2</f>
        <v>60210</v>
      </c>
      <c r="X117" s="60">
        <f>28000*C2</f>
        <v>62440</v>
      </c>
      <c r="Y117" s="60">
        <f>29000*C2</f>
        <v>64670</v>
      </c>
      <c r="Z117" s="50"/>
    </row>
    <row r="118" spans="1:26" ht="12.75">
      <c r="A118" s="58">
        <v>1500</v>
      </c>
      <c r="B118" s="59">
        <f>6000*C2</f>
        <v>13380</v>
      </c>
      <c r="C118" s="60">
        <f>10000*C2</f>
        <v>22300</v>
      </c>
      <c r="D118" s="60">
        <f>10500*C2</f>
        <v>23415</v>
      </c>
      <c r="E118" s="60">
        <f>11000*C2</f>
        <v>24530</v>
      </c>
      <c r="F118" s="60">
        <f>11500*C2</f>
        <v>25645</v>
      </c>
      <c r="G118" s="60">
        <f>12000*C2</f>
        <v>26760</v>
      </c>
      <c r="H118" s="60">
        <f>13000*C2</f>
        <v>28990</v>
      </c>
      <c r="I118" s="60">
        <f>14000*C2</f>
        <v>31220</v>
      </c>
      <c r="J118" s="60">
        <f>15000*C2</f>
        <v>33450</v>
      </c>
      <c r="K118" s="60">
        <f>16000*C2</f>
        <v>35680</v>
      </c>
      <c r="L118" s="60">
        <f>17000*C2</f>
        <v>37910</v>
      </c>
      <c r="M118" s="60">
        <f>18000*C2</f>
        <v>40140</v>
      </c>
      <c r="N118" s="60">
        <f>19000*C2</f>
        <v>42370</v>
      </c>
      <c r="O118" s="60">
        <f>20000*C2</f>
        <v>44600</v>
      </c>
      <c r="P118" s="60">
        <f>21000*C2</f>
        <v>46830</v>
      </c>
      <c r="Q118" s="60">
        <f>22000*C2</f>
        <v>49060</v>
      </c>
      <c r="R118" s="60">
        <f>23000*C2</f>
        <v>51290</v>
      </c>
      <c r="S118" s="60">
        <f>24000*C2</f>
        <v>53520</v>
      </c>
      <c r="T118" s="60">
        <f>25000*C2</f>
        <v>55750</v>
      </c>
      <c r="U118" s="60">
        <f>26000*C2</f>
        <v>57980</v>
      </c>
      <c r="V118" s="60">
        <f>27000*C2</f>
        <v>60210</v>
      </c>
      <c r="W118" s="60">
        <f>28000*C2</f>
        <v>62440</v>
      </c>
      <c r="X118" s="60">
        <f>29000*C2</f>
        <v>64670</v>
      </c>
      <c r="Y118" s="60">
        <f>30000*C2</f>
        <v>66900</v>
      </c>
      <c r="Z118" s="50"/>
    </row>
    <row r="119" spans="1:26" ht="12.75">
      <c r="A119" s="58">
        <v>1750</v>
      </c>
      <c r="B119" s="59">
        <f>6600*C2</f>
        <v>14718</v>
      </c>
      <c r="C119" s="60">
        <f>11000*C2</f>
        <v>24530</v>
      </c>
      <c r="D119" s="60">
        <f>11500*C2</f>
        <v>25645</v>
      </c>
      <c r="E119" s="60">
        <f>12000*C2</f>
        <v>26760</v>
      </c>
      <c r="F119" s="60">
        <f>12500*C2</f>
        <v>27875</v>
      </c>
      <c r="G119" s="60">
        <f>13000*C2</f>
        <v>28990</v>
      </c>
      <c r="H119" s="60">
        <f>14000*C2</f>
        <v>31220</v>
      </c>
      <c r="I119" s="60">
        <f>15000*C2</f>
        <v>33450</v>
      </c>
      <c r="J119" s="60">
        <f>16000*C2</f>
        <v>35680</v>
      </c>
      <c r="K119" s="60">
        <f>17000*C2</f>
        <v>37910</v>
      </c>
      <c r="L119" s="60">
        <f>18000*C2</f>
        <v>40140</v>
      </c>
      <c r="M119" s="60">
        <f>19000*C2</f>
        <v>42370</v>
      </c>
      <c r="N119" s="60">
        <f>20000*C2</f>
        <v>44600</v>
      </c>
      <c r="O119" s="60">
        <f>21000*C2</f>
        <v>46830</v>
      </c>
      <c r="P119" s="60">
        <f>21000*C2</f>
        <v>46830</v>
      </c>
      <c r="Q119" s="60">
        <f>23000*C2</f>
        <v>51290</v>
      </c>
      <c r="R119" s="60">
        <f>24000*C2</f>
        <v>53520</v>
      </c>
      <c r="S119" s="60">
        <f>25000*C2</f>
        <v>55750</v>
      </c>
      <c r="T119" s="60">
        <f>26000*C2</f>
        <v>57980</v>
      </c>
      <c r="U119" s="60">
        <f>27000*C2</f>
        <v>60210</v>
      </c>
      <c r="V119" s="60">
        <f>28000*C2</f>
        <v>62440</v>
      </c>
      <c r="W119" s="60">
        <f>29000*C2</f>
        <v>64670</v>
      </c>
      <c r="X119" s="60">
        <f>30000*C2</f>
        <v>66900</v>
      </c>
      <c r="Y119" s="60">
        <f>31000*C2</f>
        <v>69130</v>
      </c>
      <c r="Z119" s="50"/>
    </row>
    <row r="120" spans="1:26" ht="12.75">
      <c r="A120" s="58">
        <v>2000</v>
      </c>
      <c r="B120" s="59">
        <f>7200*C2</f>
        <v>16056</v>
      </c>
      <c r="C120" s="60">
        <f>12000*C2</f>
        <v>26760</v>
      </c>
      <c r="D120" s="60">
        <f>12500*C2</f>
        <v>27875</v>
      </c>
      <c r="E120" s="60">
        <f>13000*C2</f>
        <v>28990</v>
      </c>
      <c r="F120" s="60">
        <f>13500*C2</f>
        <v>30105</v>
      </c>
      <c r="G120" s="60">
        <f>14000*C2</f>
        <v>31220</v>
      </c>
      <c r="H120" s="60">
        <f>15000*C2</f>
        <v>33450</v>
      </c>
      <c r="I120" s="60">
        <f>16000*C2</f>
        <v>35680</v>
      </c>
      <c r="J120" s="60">
        <f>17000*C2</f>
        <v>37910</v>
      </c>
      <c r="K120" s="60">
        <f>18000*C2</f>
        <v>40140</v>
      </c>
      <c r="L120" s="60">
        <f>19000*C2</f>
        <v>42370</v>
      </c>
      <c r="M120" s="60">
        <f>20000*C2</f>
        <v>44600</v>
      </c>
      <c r="N120" s="60">
        <f>21000*C2</f>
        <v>46830</v>
      </c>
      <c r="O120" s="60">
        <f>22000*C2</f>
        <v>49060</v>
      </c>
      <c r="P120" s="60">
        <f>23000*C2</f>
        <v>51290</v>
      </c>
      <c r="Q120" s="60">
        <f>24000*C2</f>
        <v>53520</v>
      </c>
      <c r="R120" s="60">
        <f>25000*C2</f>
        <v>55750</v>
      </c>
      <c r="S120" s="60">
        <f>26000*C2</f>
        <v>57980</v>
      </c>
      <c r="T120" s="60">
        <f>27000*C2</f>
        <v>60210</v>
      </c>
      <c r="U120" s="60">
        <f>28000*C2</f>
        <v>62440</v>
      </c>
      <c r="V120" s="60">
        <f>29000*C2</f>
        <v>64670</v>
      </c>
      <c r="W120" s="60">
        <f>30000*C2</f>
        <v>66900</v>
      </c>
      <c r="X120" s="60">
        <f>31000*C2</f>
        <v>69130</v>
      </c>
      <c r="Y120" s="60">
        <f>32000*C2</f>
        <v>71360</v>
      </c>
      <c r="Z120" s="50"/>
    </row>
    <row r="121" spans="1:26" ht="12.75">
      <c r="A121" s="58">
        <v>2300</v>
      </c>
      <c r="B121" s="59">
        <f>7800*C2</f>
        <v>17394</v>
      </c>
      <c r="C121" s="60">
        <f>13000*C2</f>
        <v>28990</v>
      </c>
      <c r="D121" s="60">
        <f>13500*C2</f>
        <v>30105</v>
      </c>
      <c r="E121" s="60">
        <f>14000*C2</f>
        <v>31220</v>
      </c>
      <c r="F121" s="60">
        <f>14500*C2</f>
        <v>32335</v>
      </c>
      <c r="G121" s="60">
        <f>15000*C2</f>
        <v>33450</v>
      </c>
      <c r="H121" s="60">
        <f>16000*C2</f>
        <v>35680</v>
      </c>
      <c r="I121" s="60">
        <f>17000*C2</f>
        <v>37910</v>
      </c>
      <c r="J121" s="60">
        <f>18000*C2</f>
        <v>40140</v>
      </c>
      <c r="K121" s="60">
        <f>19000*C2</f>
        <v>42370</v>
      </c>
      <c r="L121" s="60">
        <f>20000*C2</f>
        <v>44600</v>
      </c>
      <c r="M121" s="60">
        <f>21000*C2</f>
        <v>46830</v>
      </c>
      <c r="N121" s="60">
        <f>22000*C2</f>
        <v>49060</v>
      </c>
      <c r="O121" s="60">
        <f>23000*C2</f>
        <v>51290</v>
      </c>
      <c r="P121" s="60">
        <f>24000*C2</f>
        <v>53520</v>
      </c>
      <c r="Q121" s="60">
        <f>25000*C2</f>
        <v>55750</v>
      </c>
      <c r="R121" s="60">
        <f>26000*C2</f>
        <v>57980</v>
      </c>
      <c r="S121" s="60">
        <f>27000*C2</f>
        <v>60210</v>
      </c>
      <c r="T121" s="60">
        <f>28000*C2</f>
        <v>62440</v>
      </c>
      <c r="U121" s="60">
        <f>29000*C2</f>
        <v>64670</v>
      </c>
      <c r="V121" s="60">
        <f>30000*C2</f>
        <v>66900</v>
      </c>
      <c r="W121" s="60">
        <f>31000*C2</f>
        <v>69130</v>
      </c>
      <c r="X121" s="60">
        <f>32000*C2</f>
        <v>71360</v>
      </c>
      <c r="Y121" s="60">
        <f>33000*C2</f>
        <v>73590</v>
      </c>
      <c r="Z121" s="50"/>
    </row>
    <row r="122" spans="1:26" ht="12.75">
      <c r="A122" s="58">
        <v>2600</v>
      </c>
      <c r="B122" s="59">
        <f>8400*C2</f>
        <v>18732</v>
      </c>
      <c r="C122" s="60">
        <f>14000*C2</f>
        <v>31220</v>
      </c>
      <c r="D122" s="60">
        <f>14500*C2</f>
        <v>32335</v>
      </c>
      <c r="E122" s="60">
        <f>15000*C2</f>
        <v>33450</v>
      </c>
      <c r="F122" s="60">
        <f>15500*C2</f>
        <v>34565</v>
      </c>
      <c r="G122" s="60">
        <f>16000*C2</f>
        <v>35680</v>
      </c>
      <c r="H122" s="60">
        <f>17000*C2</f>
        <v>37910</v>
      </c>
      <c r="I122" s="60">
        <f>18000*C2</f>
        <v>40140</v>
      </c>
      <c r="J122" s="60">
        <f>19000*C2</f>
        <v>42370</v>
      </c>
      <c r="K122" s="60">
        <f>20000*C2</f>
        <v>44600</v>
      </c>
      <c r="L122" s="60">
        <f>21000*C2</f>
        <v>46830</v>
      </c>
      <c r="M122" s="60">
        <f>22000*C2</f>
        <v>49060</v>
      </c>
      <c r="N122" s="60">
        <f>23000*C2</f>
        <v>51290</v>
      </c>
      <c r="O122" s="60">
        <f>24000*C2</f>
        <v>53520</v>
      </c>
      <c r="P122" s="60">
        <f>25000*C2</f>
        <v>55750</v>
      </c>
      <c r="Q122" s="60">
        <f>26000*C2</f>
        <v>57980</v>
      </c>
      <c r="R122" s="60">
        <f>27000*C2</f>
        <v>60210</v>
      </c>
      <c r="S122" s="60">
        <f>28000*C2</f>
        <v>62440</v>
      </c>
      <c r="T122" s="60">
        <f>29000*C2</f>
        <v>64670</v>
      </c>
      <c r="U122" s="60">
        <f>30000*C2</f>
        <v>66900</v>
      </c>
      <c r="V122" s="60">
        <f>31000*C2</f>
        <v>69130</v>
      </c>
      <c r="W122" s="60">
        <f>32000*C2</f>
        <v>71360</v>
      </c>
      <c r="X122" s="60">
        <f>33000*C2</f>
        <v>73590</v>
      </c>
      <c r="Y122" s="60">
        <f>34000*C2</f>
        <v>75820</v>
      </c>
      <c r="Z122" s="50"/>
    </row>
    <row r="123" spans="1:26" ht="12.75">
      <c r="A123" s="58">
        <v>3000</v>
      </c>
      <c r="B123" s="59">
        <f>9000*C2</f>
        <v>20070</v>
      </c>
      <c r="C123" s="60">
        <f>15000*C2</f>
        <v>33450</v>
      </c>
      <c r="D123" s="60">
        <f>15500*C2</f>
        <v>34565</v>
      </c>
      <c r="E123" s="60">
        <f>16000*C2</f>
        <v>35680</v>
      </c>
      <c r="F123" s="60">
        <f>16500*C2</f>
        <v>36795</v>
      </c>
      <c r="G123" s="60">
        <f>17000*C2</f>
        <v>37910</v>
      </c>
      <c r="H123" s="60">
        <f>18000*C2</f>
        <v>40140</v>
      </c>
      <c r="I123" s="60">
        <f>19000*C2</f>
        <v>42370</v>
      </c>
      <c r="J123" s="60">
        <f>20000*C2</f>
        <v>44600</v>
      </c>
      <c r="K123" s="60">
        <f>21000*C2</f>
        <v>46830</v>
      </c>
      <c r="L123" s="60">
        <f>22000*C2</f>
        <v>49060</v>
      </c>
      <c r="M123" s="60">
        <f>23000*C2</f>
        <v>51290</v>
      </c>
      <c r="N123" s="60">
        <f>24000*C2</f>
        <v>53520</v>
      </c>
      <c r="O123" s="60">
        <f>25000*C2</f>
        <v>55750</v>
      </c>
      <c r="P123" s="60">
        <f>26000*C2</f>
        <v>57980</v>
      </c>
      <c r="Q123" s="60">
        <f>27000*C2</f>
        <v>60210</v>
      </c>
      <c r="R123" s="60">
        <f>28000*C2</f>
        <v>62440</v>
      </c>
      <c r="S123" s="60">
        <f>29000*C2</f>
        <v>64670</v>
      </c>
      <c r="T123" s="60">
        <f>30000*C2</f>
        <v>66900</v>
      </c>
      <c r="U123" s="60">
        <f>31000*C2</f>
        <v>69130</v>
      </c>
      <c r="V123" s="60">
        <f>32000*C2</f>
        <v>71360</v>
      </c>
      <c r="W123" s="60">
        <f>33000*C2</f>
        <v>73590</v>
      </c>
      <c r="X123" s="60">
        <f>34000*C2</f>
        <v>75820</v>
      </c>
      <c r="Y123" s="60">
        <f>35000*C2</f>
        <v>78050</v>
      </c>
      <c r="Z123" s="50"/>
    </row>
    <row r="124" spans="1:26" ht="12.75">
      <c r="A124" s="58">
        <v>3400</v>
      </c>
      <c r="B124" s="59">
        <f>9600*C2</f>
        <v>21408</v>
      </c>
      <c r="C124" s="60">
        <f>16000*C2</f>
        <v>35680</v>
      </c>
      <c r="D124" s="60">
        <f>16500*C2</f>
        <v>36795</v>
      </c>
      <c r="E124" s="60">
        <f>17000*C2</f>
        <v>37910</v>
      </c>
      <c r="F124" s="60">
        <f>17500*C2</f>
        <v>39025</v>
      </c>
      <c r="G124" s="60">
        <f>18000*C2</f>
        <v>40140</v>
      </c>
      <c r="H124" s="60">
        <f>19000*C2</f>
        <v>42370</v>
      </c>
      <c r="I124" s="60">
        <f>20000*C2</f>
        <v>44600</v>
      </c>
      <c r="J124" s="60">
        <f>21000*C2</f>
        <v>46830</v>
      </c>
      <c r="K124" s="60">
        <f>22000*C2</f>
        <v>49060</v>
      </c>
      <c r="L124" s="60">
        <f>23000*C2</f>
        <v>51290</v>
      </c>
      <c r="M124" s="60">
        <f>24000*C2</f>
        <v>53520</v>
      </c>
      <c r="N124" s="60">
        <f>25000*C2</f>
        <v>55750</v>
      </c>
      <c r="O124" s="60">
        <f>26000*C2</f>
        <v>57980</v>
      </c>
      <c r="P124" s="60">
        <f>27000*C2</f>
        <v>60210</v>
      </c>
      <c r="Q124" s="60">
        <f>28000*C2</f>
        <v>62440</v>
      </c>
      <c r="R124" s="60">
        <f>29000*C2</f>
        <v>64670</v>
      </c>
      <c r="S124" s="60">
        <f>30000*C2</f>
        <v>66900</v>
      </c>
      <c r="T124" s="60">
        <f>31000*C2</f>
        <v>69130</v>
      </c>
      <c r="U124" s="60">
        <f>32000*C2</f>
        <v>71360</v>
      </c>
      <c r="V124" s="60">
        <f>33000*C2</f>
        <v>73590</v>
      </c>
      <c r="W124" s="60">
        <f>34000*C2</f>
        <v>75820</v>
      </c>
      <c r="X124" s="60">
        <f>35000*C2</f>
        <v>78050</v>
      </c>
      <c r="Y124" s="60">
        <f>36000*C2</f>
        <v>80280</v>
      </c>
      <c r="Z124" s="50"/>
    </row>
    <row r="125" spans="1:26" ht="12.75">
      <c r="A125" s="58">
        <v>3800</v>
      </c>
      <c r="B125" s="59">
        <f>10200*C2</f>
        <v>22746</v>
      </c>
      <c r="C125" s="60">
        <f>17000*C2</f>
        <v>37910</v>
      </c>
      <c r="D125" s="60">
        <f>17500*C2</f>
        <v>39025</v>
      </c>
      <c r="E125" s="60">
        <f>18000*C2</f>
        <v>40140</v>
      </c>
      <c r="F125" s="60">
        <f>18500*C2</f>
        <v>41255</v>
      </c>
      <c r="G125" s="60">
        <f>19000*C2</f>
        <v>42370</v>
      </c>
      <c r="H125" s="60">
        <f>20000*C2</f>
        <v>44600</v>
      </c>
      <c r="I125" s="60">
        <f>21000*C2</f>
        <v>46830</v>
      </c>
      <c r="J125" s="60">
        <f>22000*C2</f>
        <v>49060</v>
      </c>
      <c r="K125" s="60">
        <f>23000*C2</f>
        <v>51290</v>
      </c>
      <c r="L125" s="60">
        <f>24000*C2</f>
        <v>53520</v>
      </c>
      <c r="M125" s="60">
        <f>25000*C2</f>
        <v>55750</v>
      </c>
      <c r="N125" s="60">
        <f>26000*C2</f>
        <v>57980</v>
      </c>
      <c r="O125" s="60">
        <f>27000*C2</f>
        <v>60210</v>
      </c>
      <c r="P125" s="60">
        <f>28000*C2</f>
        <v>62440</v>
      </c>
      <c r="Q125" s="60">
        <f>29000*C2</f>
        <v>64670</v>
      </c>
      <c r="R125" s="60">
        <f>30000*C2</f>
        <v>66900</v>
      </c>
      <c r="S125" s="60">
        <f>31000*C2</f>
        <v>69130</v>
      </c>
      <c r="T125" s="60">
        <f>32000*C2</f>
        <v>71360</v>
      </c>
      <c r="U125" s="60">
        <f>33000*C2</f>
        <v>73590</v>
      </c>
      <c r="V125" s="60">
        <f>34000*C2</f>
        <v>75820</v>
      </c>
      <c r="W125" s="60">
        <f>35000*C2</f>
        <v>78050</v>
      </c>
      <c r="X125" s="60">
        <f>36000*C2</f>
        <v>80280</v>
      </c>
      <c r="Y125" s="60">
        <f>37000*C2</f>
        <v>82510</v>
      </c>
      <c r="Z125" s="50"/>
    </row>
    <row r="126" spans="1:26" ht="12.75">
      <c r="A126" s="58">
        <v>4200</v>
      </c>
      <c r="B126" s="59">
        <f>10800*C2</f>
        <v>24084</v>
      </c>
      <c r="C126" s="60">
        <f>18000*C2</f>
        <v>40140</v>
      </c>
      <c r="D126" s="60">
        <f>18500*C2</f>
        <v>41255</v>
      </c>
      <c r="E126" s="60">
        <f>19000*C2</f>
        <v>42370</v>
      </c>
      <c r="F126" s="60">
        <f>19500*C2</f>
        <v>43485</v>
      </c>
      <c r="G126" s="60">
        <f>20000*C2</f>
        <v>44600</v>
      </c>
      <c r="H126" s="60">
        <f>21000*C2</f>
        <v>46830</v>
      </c>
      <c r="I126" s="60">
        <f>22000*C2</f>
        <v>49060</v>
      </c>
      <c r="J126" s="60">
        <f>23000*C2</f>
        <v>51290</v>
      </c>
      <c r="K126" s="60">
        <f>24000*C2</f>
        <v>53520</v>
      </c>
      <c r="L126" s="60">
        <f>25000*C2</f>
        <v>55750</v>
      </c>
      <c r="M126" s="60">
        <f>26000*C2</f>
        <v>57980</v>
      </c>
      <c r="N126" s="60">
        <f>27000*C2</f>
        <v>60210</v>
      </c>
      <c r="O126" s="60">
        <f>28000*C2</f>
        <v>62440</v>
      </c>
      <c r="P126" s="60">
        <f>29000*C2</f>
        <v>64670</v>
      </c>
      <c r="Q126" s="60">
        <f>30000*C2</f>
        <v>66900</v>
      </c>
      <c r="R126" s="60">
        <f>31000*C2</f>
        <v>69130</v>
      </c>
      <c r="S126" s="60">
        <f>32000*C2</f>
        <v>71360</v>
      </c>
      <c r="T126" s="60">
        <f>33000*C2</f>
        <v>73590</v>
      </c>
      <c r="U126" s="60">
        <f>34000*C2</f>
        <v>75820</v>
      </c>
      <c r="V126" s="60">
        <f>35000*C2</f>
        <v>78050</v>
      </c>
      <c r="W126" s="60">
        <f>36000*C2</f>
        <v>80280</v>
      </c>
      <c r="X126" s="60">
        <f>37000*C2</f>
        <v>82510</v>
      </c>
      <c r="Y126" s="60">
        <f>38000*C2</f>
        <v>84740</v>
      </c>
      <c r="Z126" s="50"/>
    </row>
    <row r="127" spans="1:26" ht="12.75">
      <c r="A127" s="58">
        <v>4600</v>
      </c>
      <c r="B127" s="59">
        <f>11400*C2</f>
        <v>25422</v>
      </c>
      <c r="C127" s="60">
        <f>19000*C2</f>
        <v>42370</v>
      </c>
      <c r="D127" s="60">
        <f>19500*C2</f>
        <v>43485</v>
      </c>
      <c r="E127" s="60">
        <f>20000*C2</f>
        <v>44600</v>
      </c>
      <c r="F127" s="60">
        <f>20500*C2</f>
        <v>45715</v>
      </c>
      <c r="G127" s="60">
        <f>21000*C2</f>
        <v>46830</v>
      </c>
      <c r="H127" s="60">
        <f>22000*C2</f>
        <v>49060</v>
      </c>
      <c r="I127" s="60">
        <f>23000*C2</f>
        <v>51290</v>
      </c>
      <c r="J127" s="60">
        <f>24000*C2</f>
        <v>53520</v>
      </c>
      <c r="K127" s="60">
        <f>25000*C2</f>
        <v>55750</v>
      </c>
      <c r="L127" s="60">
        <f>26000*C2</f>
        <v>57980</v>
      </c>
      <c r="M127" s="60">
        <f>27000*C2</f>
        <v>60210</v>
      </c>
      <c r="N127" s="60">
        <f>28000*C2</f>
        <v>62440</v>
      </c>
      <c r="O127" s="60">
        <f>29000*C2</f>
        <v>64670</v>
      </c>
      <c r="P127" s="60">
        <f>30000*C2</f>
        <v>66900</v>
      </c>
      <c r="Q127" s="60">
        <f>31000*C2</f>
        <v>69130</v>
      </c>
      <c r="R127" s="60">
        <f>32000*C2</f>
        <v>71360</v>
      </c>
      <c r="S127" s="60">
        <f>33000*C2</f>
        <v>73590</v>
      </c>
      <c r="T127" s="60">
        <f>34000*C2</f>
        <v>75820</v>
      </c>
      <c r="U127" s="60">
        <f>35000*C2</f>
        <v>78050</v>
      </c>
      <c r="V127" s="60">
        <f>36000*C2</f>
        <v>80280</v>
      </c>
      <c r="W127" s="60">
        <f>37000*C2</f>
        <v>82510</v>
      </c>
      <c r="X127" s="60">
        <f>38000*C2</f>
        <v>84740</v>
      </c>
      <c r="Y127" s="60">
        <f>39000*C2</f>
        <v>86970</v>
      </c>
      <c r="Z127" s="50"/>
    </row>
    <row r="128" spans="1:26" ht="12.75">
      <c r="A128" s="58">
        <v>5000</v>
      </c>
      <c r="B128" s="59">
        <f>12000*C2</f>
        <v>26760</v>
      </c>
      <c r="C128" s="60">
        <f>20000*C2</f>
        <v>44600</v>
      </c>
      <c r="D128" s="60">
        <f>20500*C2</f>
        <v>45715</v>
      </c>
      <c r="E128" s="60">
        <f>21000*C2</f>
        <v>46830</v>
      </c>
      <c r="F128" s="60">
        <f>21500*C2</f>
        <v>47945</v>
      </c>
      <c r="G128" s="60">
        <f>22000*C2</f>
        <v>49060</v>
      </c>
      <c r="H128" s="60">
        <f>23000*C2</f>
        <v>51290</v>
      </c>
      <c r="I128" s="60">
        <f>24000*C2</f>
        <v>53520</v>
      </c>
      <c r="J128" s="60">
        <f>25000*C2</f>
        <v>55750</v>
      </c>
      <c r="K128" s="60">
        <f>26000*C2</f>
        <v>57980</v>
      </c>
      <c r="L128" s="60">
        <f>27000*C2</f>
        <v>60210</v>
      </c>
      <c r="M128" s="60">
        <f>28000*C2</f>
        <v>62440</v>
      </c>
      <c r="N128" s="60">
        <f>29000*C2</f>
        <v>64670</v>
      </c>
      <c r="O128" s="60">
        <f>30000*C2</f>
        <v>66900</v>
      </c>
      <c r="P128" s="60">
        <f>31000*C2</f>
        <v>69130</v>
      </c>
      <c r="Q128" s="60">
        <f>32000*C2</f>
        <v>71360</v>
      </c>
      <c r="R128" s="60">
        <f>33000*C2</f>
        <v>73590</v>
      </c>
      <c r="S128" s="60">
        <f>34000*C2</f>
        <v>75820</v>
      </c>
      <c r="T128" s="60">
        <f>35000*C2</f>
        <v>78050</v>
      </c>
      <c r="U128" s="60">
        <f>36000*C2</f>
        <v>80280</v>
      </c>
      <c r="V128" s="60">
        <f>37000*C2</f>
        <v>82510</v>
      </c>
      <c r="W128" s="60">
        <f>38000*C2</f>
        <v>84740</v>
      </c>
      <c r="X128" s="60">
        <f>39000*C2</f>
        <v>86970</v>
      </c>
      <c r="Y128" s="60">
        <f>40000*C2</f>
        <v>89200</v>
      </c>
      <c r="Z128" s="50"/>
    </row>
    <row r="129" spans="1:26" ht="12.75">
      <c r="A129" s="6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50"/>
    </row>
    <row r="130" spans="1:26" ht="12.75">
      <c r="A130" s="61"/>
      <c r="B130" s="14" t="s">
        <v>40</v>
      </c>
      <c r="C130" s="14"/>
      <c r="D130" s="52">
        <f>Y99</f>
        <v>3345000</v>
      </c>
      <c r="E130" s="14" t="s">
        <v>46</v>
      </c>
      <c r="F130" s="14"/>
      <c r="G130" s="14"/>
      <c r="H130" s="14"/>
      <c r="I130" s="51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50"/>
    </row>
    <row r="131" spans="1:26" ht="12.75">
      <c r="A131" s="62"/>
      <c r="B131" s="14" t="s">
        <v>47</v>
      </c>
      <c r="C131" s="14"/>
      <c r="D131" s="14"/>
      <c r="E131" s="63">
        <f>200*C2</f>
        <v>446</v>
      </c>
      <c r="F131" s="14"/>
      <c r="G131" s="6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50"/>
    </row>
    <row r="132" spans="1:26" ht="13.5" thickBot="1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7"/>
    </row>
    <row r="136" spans="10:27" ht="15.75">
      <c r="J136" s="68"/>
      <c r="K136" s="68"/>
      <c r="L136" s="68"/>
      <c r="M136" s="68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</sheetData>
  <sheetProtection/>
  <mergeCells count="44">
    <mergeCell ref="A10:B10"/>
    <mergeCell ref="A6:B6"/>
    <mergeCell ref="A8:B8"/>
    <mergeCell ref="A9:B9"/>
    <mergeCell ref="A1:B1"/>
    <mergeCell ref="A2:B2"/>
    <mergeCell ref="A3:B3"/>
    <mergeCell ref="A4:B4"/>
    <mergeCell ref="A5:B5"/>
    <mergeCell ref="A7:B7"/>
    <mergeCell ref="E22:F22"/>
    <mergeCell ref="K13:L13"/>
    <mergeCell ref="I22:J22"/>
    <mergeCell ref="K22:L22"/>
    <mergeCell ref="G22:H22"/>
    <mergeCell ref="G13:H13"/>
    <mergeCell ref="I13:J13"/>
    <mergeCell ref="E13:F13"/>
    <mergeCell ref="A96:A99"/>
    <mergeCell ref="A92:A93"/>
    <mergeCell ref="A68:D68"/>
    <mergeCell ref="A79:D79"/>
    <mergeCell ref="A80:B80"/>
    <mergeCell ref="A70:B70"/>
    <mergeCell ref="B90:C90"/>
    <mergeCell ref="C80:D80"/>
    <mergeCell ref="C70:D70"/>
    <mergeCell ref="B91:C91"/>
    <mergeCell ref="C22:D22"/>
    <mergeCell ref="A13:B13"/>
    <mergeCell ref="A45:D45"/>
    <mergeCell ref="C13:D13"/>
    <mergeCell ref="A33:B33"/>
    <mergeCell ref="A22:B22"/>
    <mergeCell ref="A89:D89"/>
    <mergeCell ref="A12:L12"/>
    <mergeCell ref="C33:D33"/>
    <mergeCell ref="A32:D32"/>
    <mergeCell ref="C46:D46"/>
    <mergeCell ref="C59:D59"/>
    <mergeCell ref="A58:F58"/>
    <mergeCell ref="E59:F59"/>
    <mergeCell ref="A59:B59"/>
    <mergeCell ref="A46:B46"/>
  </mergeCells>
  <printOptions/>
  <pageMargins left="0.25" right="0.75" top="0.6" bottom="1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tabSelected="1" workbookViewId="0" topLeftCell="A1">
      <selection activeCell="G33" sqref="G33:H33"/>
    </sheetView>
  </sheetViews>
  <sheetFormatPr defaultColWidth="11.421875" defaultRowHeight="12.75"/>
  <cols>
    <col min="1" max="1" width="9.421875" style="80" customWidth="1"/>
    <col min="2" max="2" width="18.57421875" style="80" customWidth="1"/>
    <col min="3" max="3" width="16.8515625" style="80" customWidth="1"/>
    <col min="4" max="4" width="17.421875" style="80" customWidth="1"/>
    <col min="5" max="5" width="14.28125" style="80" customWidth="1"/>
    <col min="6" max="6" width="18.8515625" style="80" customWidth="1"/>
    <col min="7" max="7" width="16.7109375" style="80" customWidth="1"/>
    <col min="8" max="8" width="13.7109375" style="80" customWidth="1"/>
    <col min="9" max="16384" width="11.421875" style="80" customWidth="1"/>
  </cols>
  <sheetData>
    <row r="1" spans="1:8" s="73" customFormat="1" ht="12.75">
      <c r="A1" s="163" t="s">
        <v>52</v>
      </c>
      <c r="B1" s="163"/>
      <c r="C1" s="72"/>
      <c r="D1" s="72"/>
      <c r="E1" s="72"/>
      <c r="F1" s="164" t="str">
        <f>CONCATENATE("Estudio y preparación de propuesta en Licitación
Resolución Nº ",Tablas!C3)</f>
        <v>Estudio y preparación de propuesta en Licitación
Resolución Nº 1352</v>
      </c>
      <c r="G1" s="164"/>
      <c r="H1" s="164"/>
    </row>
    <row r="2" spans="1:8" s="73" customFormat="1" ht="12.75">
      <c r="A2" s="166" t="s">
        <v>53</v>
      </c>
      <c r="B2" s="166"/>
      <c r="C2" s="74"/>
      <c r="D2" s="74"/>
      <c r="E2" s="74"/>
      <c r="F2" s="164"/>
      <c r="G2" s="164"/>
      <c r="H2" s="164"/>
    </row>
    <row r="3" spans="1:8" s="73" customFormat="1" ht="12.75">
      <c r="A3" s="167" t="s">
        <v>54</v>
      </c>
      <c r="B3" s="167"/>
      <c r="C3" s="75"/>
      <c r="D3" s="75"/>
      <c r="E3" s="75"/>
      <c r="F3" s="165"/>
      <c r="G3" s="165"/>
      <c r="H3" s="165"/>
    </row>
    <row r="4" spans="1:8" ht="12.75">
      <c r="A4" s="76"/>
      <c r="B4" s="76"/>
      <c r="C4" s="76"/>
      <c r="D4" s="76"/>
      <c r="E4" s="77"/>
      <c r="F4" s="77"/>
      <c r="G4" s="78"/>
      <c r="H4" s="79"/>
    </row>
    <row r="5" spans="1:8" ht="12.75">
      <c r="A5" s="80" t="s">
        <v>55</v>
      </c>
      <c r="D5" s="170"/>
      <c r="E5" s="170"/>
      <c r="F5" s="81" t="s">
        <v>71</v>
      </c>
      <c r="G5" s="168"/>
      <c r="H5" s="168"/>
    </row>
    <row r="6" spans="1:8" ht="12.75">
      <c r="A6" s="82" t="s">
        <v>56</v>
      </c>
      <c r="B6" s="169"/>
      <c r="C6" s="169"/>
      <c r="D6" s="169"/>
      <c r="E6" s="83" t="s">
        <v>57</v>
      </c>
      <c r="F6" s="150"/>
      <c r="G6" s="150"/>
      <c r="H6" s="150"/>
    </row>
    <row r="7" spans="1:8" ht="12.75">
      <c r="A7" s="84" t="s">
        <v>58</v>
      </c>
      <c r="B7" s="171"/>
      <c r="C7" s="171"/>
      <c r="D7" s="171"/>
      <c r="E7" s="171"/>
      <c r="F7" s="171"/>
      <c r="G7" s="171"/>
      <c r="H7" s="171"/>
    </row>
    <row r="8" spans="1:6" ht="13.5" customHeight="1" thickBot="1">
      <c r="A8" s="85"/>
      <c r="B8" s="85"/>
      <c r="C8" s="85"/>
      <c r="D8" s="85"/>
      <c r="E8" s="85"/>
      <c r="F8" s="85"/>
    </row>
    <row r="9" spans="1:8" ht="13.5" customHeight="1" thickBot="1">
      <c r="A9" s="172" t="s">
        <v>66</v>
      </c>
      <c r="B9" s="173"/>
      <c r="C9" s="184" t="s">
        <v>72</v>
      </c>
      <c r="D9" s="185"/>
      <c r="E9" s="185"/>
      <c r="F9" s="186"/>
      <c r="G9" s="84"/>
      <c r="H9" s="84"/>
    </row>
    <row r="10" spans="1:8" ht="13.5" customHeight="1">
      <c r="A10" s="174">
        <f>+Tablas!C2</f>
        <v>2.23</v>
      </c>
      <c r="B10" s="175"/>
      <c r="C10" s="86" t="s">
        <v>8</v>
      </c>
      <c r="D10" s="87" t="s">
        <v>9</v>
      </c>
      <c r="E10" s="88" t="s">
        <v>10</v>
      </c>
      <c r="F10" s="89" t="s">
        <v>9</v>
      </c>
      <c r="G10" s="90"/>
      <c r="H10" s="90"/>
    </row>
    <row r="11" spans="1:8" ht="13.5" customHeight="1">
      <c r="A11" s="85"/>
      <c r="C11" s="91">
        <f>1000000*A10</f>
        <v>2230000</v>
      </c>
      <c r="D11" s="92">
        <f>+C11</f>
        <v>2230000</v>
      </c>
      <c r="E11" s="93">
        <v>0.05</v>
      </c>
      <c r="F11" s="92">
        <f>+E11*C11</f>
        <v>111500</v>
      </c>
      <c r="G11" s="90"/>
      <c r="H11" s="90"/>
    </row>
    <row r="12" spans="1:8" ht="13.5" customHeight="1">
      <c r="A12" s="85"/>
      <c r="C12" s="91">
        <f>4000000*A10</f>
        <v>8920000</v>
      </c>
      <c r="D12" s="92">
        <f aca="true" t="shared" si="0" ref="D12:D17">+D11+C12</f>
        <v>11150000</v>
      </c>
      <c r="E12" s="93">
        <v>0.04</v>
      </c>
      <c r="F12" s="92">
        <f aca="true" t="shared" si="1" ref="F12:F17">+(D12-D11)*E12+F11</f>
        <v>468300</v>
      </c>
      <c r="G12" s="94"/>
      <c r="H12" s="95"/>
    </row>
    <row r="13" spans="1:8" ht="13.5" customHeight="1">
      <c r="A13" s="85"/>
      <c r="C13" s="91">
        <f>5000000*A10</f>
        <v>11150000</v>
      </c>
      <c r="D13" s="92">
        <f t="shared" si="0"/>
        <v>22300000</v>
      </c>
      <c r="E13" s="93">
        <v>0.03</v>
      </c>
      <c r="F13" s="92">
        <f t="shared" si="1"/>
        <v>802800</v>
      </c>
      <c r="G13" s="94"/>
      <c r="H13" s="95"/>
    </row>
    <row r="14" spans="1:8" ht="13.5" customHeight="1">
      <c r="A14" s="85"/>
      <c r="C14" s="91">
        <f>10000000*A10</f>
        <v>22300000</v>
      </c>
      <c r="D14" s="92">
        <f t="shared" si="0"/>
        <v>44600000</v>
      </c>
      <c r="E14" s="93">
        <v>0.025</v>
      </c>
      <c r="F14" s="92">
        <f t="shared" si="1"/>
        <v>1360300</v>
      </c>
      <c r="G14" s="94"/>
      <c r="H14" s="95"/>
    </row>
    <row r="15" spans="1:8" ht="13.5" customHeight="1">
      <c r="A15" s="85"/>
      <c r="C15" s="91">
        <f>20000000*A10</f>
        <v>44600000</v>
      </c>
      <c r="D15" s="92">
        <f t="shared" si="0"/>
        <v>89200000</v>
      </c>
      <c r="E15" s="93">
        <v>0.02</v>
      </c>
      <c r="F15" s="92">
        <f t="shared" si="1"/>
        <v>2252300</v>
      </c>
      <c r="G15" s="94"/>
      <c r="H15" s="95"/>
    </row>
    <row r="16" spans="1:8" ht="13.5" customHeight="1">
      <c r="A16" s="85"/>
      <c r="C16" s="91">
        <f>40000000*A10</f>
        <v>89200000</v>
      </c>
      <c r="D16" s="92">
        <f t="shared" si="0"/>
        <v>178400000</v>
      </c>
      <c r="E16" s="93">
        <v>0.015</v>
      </c>
      <c r="F16" s="92">
        <f t="shared" si="1"/>
        <v>3590300</v>
      </c>
      <c r="G16" s="94"/>
      <c r="H16" s="95"/>
    </row>
    <row r="17" spans="1:8" ht="13.5" customHeight="1">
      <c r="A17" s="85"/>
      <c r="C17" s="91">
        <f>80000000*A10</f>
        <v>178400000</v>
      </c>
      <c r="D17" s="92">
        <f t="shared" si="0"/>
        <v>356800000</v>
      </c>
      <c r="E17" s="93">
        <v>0.01</v>
      </c>
      <c r="F17" s="92">
        <f t="shared" si="1"/>
        <v>5374300</v>
      </c>
      <c r="G17" s="94"/>
      <c r="H17" s="95"/>
    </row>
    <row r="18" spans="1:8" ht="13.5" customHeight="1" thickBot="1">
      <c r="A18" s="85"/>
      <c r="C18" s="96"/>
      <c r="D18" s="97" t="s">
        <v>11</v>
      </c>
      <c r="E18" s="98">
        <f>+E17-0.005</f>
        <v>0.005</v>
      </c>
      <c r="F18" s="99"/>
      <c r="G18" s="94"/>
      <c r="H18" s="95"/>
    </row>
    <row r="19" spans="1:8" ht="13.5" customHeight="1">
      <c r="A19" s="85"/>
      <c r="F19" s="84"/>
      <c r="G19" s="94"/>
      <c r="H19" s="100"/>
    </row>
    <row r="20" spans="1:8" ht="13.5" customHeight="1">
      <c r="A20" s="176" t="s">
        <v>69</v>
      </c>
      <c r="B20" s="177"/>
      <c r="C20" s="177"/>
      <c r="D20" s="177"/>
      <c r="E20" s="177"/>
      <c r="F20" s="177"/>
      <c r="G20" s="178">
        <v>0</v>
      </c>
      <c r="H20" s="179"/>
    </row>
    <row r="21" spans="1:8" ht="13.5" customHeight="1">
      <c r="A21" s="176"/>
      <c r="B21" s="177"/>
      <c r="C21" s="177"/>
      <c r="D21" s="177"/>
      <c r="E21" s="177"/>
      <c r="F21" s="177"/>
      <c r="G21" s="178"/>
      <c r="H21" s="179"/>
    </row>
    <row r="22" spans="1:8" s="85" customFormat="1" ht="13.5" customHeight="1">
      <c r="A22" s="159" t="s">
        <v>74</v>
      </c>
      <c r="B22" s="160"/>
      <c r="C22" s="160"/>
      <c r="D22" s="160"/>
      <c r="E22" s="160"/>
      <c r="F22" s="160"/>
      <c r="G22" s="180">
        <f>IF(G20&lt;18182*Tablas!C1,0,18182*Tablas!C1)</f>
        <v>0</v>
      </c>
      <c r="H22" s="181"/>
    </row>
    <row r="23" spans="1:8" s="85" customFormat="1" ht="13.5" customHeight="1" thickBot="1">
      <c r="A23" s="161"/>
      <c r="B23" s="162"/>
      <c r="C23" s="162"/>
      <c r="D23" s="162"/>
      <c r="E23" s="162"/>
      <c r="F23" s="162"/>
      <c r="G23" s="182"/>
      <c r="H23" s="183"/>
    </row>
    <row r="24" spans="1:8" s="85" customFormat="1" ht="13.5" customHeight="1">
      <c r="A24" s="155" t="s">
        <v>67</v>
      </c>
      <c r="B24" s="156"/>
      <c r="C24" s="156"/>
      <c r="D24" s="156"/>
      <c r="E24" s="156"/>
      <c r="F24" s="156"/>
      <c r="G24" s="151">
        <f>IF(G20&lt;18182*Tablas!C1,G20,18182*Tablas!C1)</f>
        <v>0</v>
      </c>
      <c r="H24" s="152"/>
    </row>
    <row r="25" spans="1:8" s="85" customFormat="1" ht="13.5" customHeight="1" thickBot="1">
      <c r="A25" s="157"/>
      <c r="B25" s="158"/>
      <c r="C25" s="158"/>
      <c r="D25" s="158"/>
      <c r="E25" s="158"/>
      <c r="F25" s="158"/>
      <c r="G25" s="153"/>
      <c r="H25" s="154"/>
    </row>
    <row r="26" spans="2:6" s="85" customFormat="1" ht="13.5" customHeight="1">
      <c r="B26" s="101"/>
      <c r="C26" s="101"/>
      <c r="D26" s="101"/>
      <c r="E26" s="101"/>
      <c r="F26" s="84"/>
    </row>
    <row r="27" spans="3:8" s="85" customFormat="1" ht="13.5" customHeight="1">
      <c r="C27" s="85" t="s">
        <v>43</v>
      </c>
      <c r="D27" s="103">
        <f>IF($G$24&gt;=D17,D17,IF($G$24&gt;=D16,D16,IF($G$24&gt;=D15,D15,IF($G$24&gt;=D14,D14,IF($G$24&gt;=D13,D13,IF($G$24&gt;=D12,D12,IF($G$24&gt;=D11,D11,IF($G$24&lt;D11,$G$24))))))))</f>
        <v>0</v>
      </c>
      <c r="E27" s="127">
        <f>IF(G24&lt;=0,0,IF($G$24&lt;D11,E11,""))</f>
        <v>0</v>
      </c>
      <c r="F27" s="103">
        <f>IF(D27=D17,F17,IF(D27=D16,F16,IF(D27=D15,F15,IF(D27=D14,F14,IF(D27=D13,F13,IF(D27=D12,F12,IF(D27=D11,F11,IF(D27=G24,D27*E27))))))))</f>
        <v>0</v>
      </c>
      <c r="G27" s="104"/>
      <c r="H27" s="129"/>
    </row>
    <row r="28" spans="3:8" ht="13.5" customHeight="1">
      <c r="C28" s="85" t="s">
        <v>44</v>
      </c>
      <c r="D28" s="103">
        <f>+$G$24-D27</f>
        <v>0</v>
      </c>
      <c r="E28" s="127">
        <f>IF(D27=D17,E18,IF(D27=D16,E17,IF(D27=D15,E16,IF(D27=D14,E15,IF(D27=D13,E14,IF(D27=D12,E13,IF(D27=D11,E12,0)))))))</f>
        <v>0</v>
      </c>
      <c r="F28" s="103">
        <f>+D28*E28</f>
        <v>0</v>
      </c>
      <c r="G28" s="105"/>
      <c r="H28" s="106"/>
    </row>
    <row r="29" spans="3:8" ht="13.5" customHeight="1">
      <c r="C29" s="80" t="s">
        <v>70</v>
      </c>
      <c r="D29" s="107"/>
      <c r="E29" s="104"/>
      <c r="F29" s="103">
        <f>+F28+F27</f>
        <v>0</v>
      </c>
      <c r="G29" s="105"/>
      <c r="H29" s="106"/>
    </row>
    <row r="30" spans="3:8" ht="13.5" customHeight="1">
      <c r="C30" s="104" t="s">
        <v>73</v>
      </c>
      <c r="E30" s="85"/>
      <c r="F30" s="103">
        <f>+F29*0.05</f>
        <v>0</v>
      </c>
      <c r="G30" s="105"/>
      <c r="H30" s="106"/>
    </row>
    <row r="31" spans="1:8" ht="13.5" customHeight="1">
      <c r="A31" s="85"/>
      <c r="B31" s="85"/>
      <c r="C31" s="85"/>
      <c r="D31" s="85"/>
      <c r="E31" s="85"/>
      <c r="F31" s="102"/>
      <c r="G31" s="108"/>
      <c r="H31" s="109"/>
    </row>
    <row r="32" spans="1:8" ht="27" customHeight="1" thickBot="1">
      <c r="A32" s="197" t="s">
        <v>68</v>
      </c>
      <c r="B32" s="198"/>
      <c r="C32" s="198"/>
      <c r="D32" s="198"/>
      <c r="E32" s="198"/>
      <c r="F32" s="198"/>
      <c r="G32" s="195">
        <f>IF(F30&gt;0,IF(+F30&lt;=Tablas!C10,Tablas!C10,+F30),0)</f>
        <v>0</v>
      </c>
      <c r="H32" s="196"/>
    </row>
    <row r="33" spans="1:9" ht="27" customHeight="1" thickBot="1">
      <c r="A33" s="199" t="s">
        <v>59</v>
      </c>
      <c r="B33" s="200"/>
      <c r="C33" s="200"/>
      <c r="D33" s="200"/>
      <c r="E33" s="200"/>
      <c r="F33" s="200"/>
      <c r="G33" s="201"/>
      <c r="H33" s="202"/>
      <c r="I33" s="128">
        <f>IF(AND(G32&gt;G33,G32&lt;&gt;0),"EL HONORARIO DEBE SER MAYOR","")</f>
      </c>
    </row>
    <row r="34" spans="1:6" ht="13.5" customHeight="1">
      <c r="A34" s="110"/>
      <c r="B34" s="110"/>
      <c r="C34" s="110"/>
      <c r="D34" s="110"/>
      <c r="E34" s="110"/>
      <c r="F34" s="110"/>
    </row>
    <row r="35" spans="1:8" ht="12.75">
      <c r="A35" s="194" t="s">
        <v>60</v>
      </c>
      <c r="B35" s="194"/>
      <c r="C35" s="194"/>
      <c r="D35" s="194"/>
      <c r="E35" s="111"/>
      <c r="F35" s="111"/>
      <c r="G35" s="111"/>
      <c r="H35" s="111"/>
    </row>
    <row r="36" spans="1:8" ht="12.75">
      <c r="A36" s="112"/>
      <c r="B36" s="113"/>
      <c r="C36" s="113"/>
      <c r="D36" s="114"/>
      <c r="E36" s="115"/>
      <c r="F36" s="116" t="s">
        <v>61</v>
      </c>
      <c r="G36" s="188">
        <f>G33*0.012</f>
        <v>0</v>
      </c>
      <c r="H36" s="189"/>
    </row>
    <row r="37" spans="1:8" ht="12.75">
      <c r="A37" s="117"/>
      <c r="B37" s="115"/>
      <c r="C37" s="115"/>
      <c r="D37" s="118"/>
      <c r="E37" s="115"/>
      <c r="F37" s="116" t="s">
        <v>62</v>
      </c>
      <c r="G37" s="188">
        <f>IF(G33&lt;&gt;0,IF(G33&lt;=Tablas!C5,Tablas!C4,G33*0.025),0)</f>
        <v>0</v>
      </c>
      <c r="H37" s="189"/>
    </row>
    <row r="38" spans="1:8" ht="12.75">
      <c r="A38" s="117"/>
      <c r="B38" s="115"/>
      <c r="C38" s="115"/>
      <c r="D38" s="118"/>
      <c r="E38" s="115"/>
      <c r="F38" s="125"/>
      <c r="G38" s="190">
        <f>SUM(G36:H37)</f>
        <v>0</v>
      </c>
      <c r="H38" s="191"/>
    </row>
    <row r="39" spans="1:8" ht="12.75">
      <c r="A39" s="117"/>
      <c r="B39" s="115"/>
      <c r="C39" s="115"/>
      <c r="D39" s="118"/>
      <c r="E39" s="115"/>
      <c r="F39" s="116" t="s">
        <v>63</v>
      </c>
      <c r="G39" s="188">
        <f>G33*0.1</f>
        <v>0</v>
      </c>
      <c r="H39" s="189"/>
    </row>
    <row r="40" spans="1:8" ht="12.75">
      <c r="A40" s="117"/>
      <c r="B40" s="115"/>
      <c r="C40" s="115"/>
      <c r="D40" s="118"/>
      <c r="E40" s="115"/>
      <c r="F40" s="126" t="s">
        <v>64</v>
      </c>
      <c r="G40" s="192">
        <f>SUM(G38:H39)</f>
        <v>0</v>
      </c>
      <c r="H40" s="193"/>
    </row>
    <row r="41" spans="1:8" ht="12.75">
      <c r="A41" s="117"/>
      <c r="B41" s="115"/>
      <c r="C41" s="115"/>
      <c r="D41" s="118"/>
      <c r="E41" s="115"/>
      <c r="F41" s="119"/>
      <c r="G41" s="119"/>
      <c r="H41" s="115"/>
    </row>
    <row r="42" spans="1:8" ht="12.75">
      <c r="A42" s="117"/>
      <c r="B42" s="115"/>
      <c r="C42" s="115"/>
      <c r="D42" s="118"/>
      <c r="E42" s="115"/>
      <c r="F42" s="119"/>
      <c r="G42" s="119"/>
      <c r="H42" s="115"/>
    </row>
    <row r="43" spans="1:8" ht="12.75">
      <c r="A43" s="117"/>
      <c r="B43" s="115"/>
      <c r="C43" s="115"/>
      <c r="D43" s="118"/>
      <c r="E43" s="115"/>
      <c r="F43" s="119"/>
      <c r="G43" s="119"/>
      <c r="H43" s="115"/>
    </row>
    <row r="44" spans="1:8" ht="12.75">
      <c r="A44" s="117"/>
      <c r="B44" s="115"/>
      <c r="C44" s="115"/>
      <c r="D44" s="118"/>
      <c r="E44" s="115"/>
      <c r="F44" s="119"/>
      <c r="G44" s="119"/>
      <c r="H44" s="115"/>
    </row>
    <row r="45" spans="1:8" ht="12.75">
      <c r="A45" s="117"/>
      <c r="B45" s="115"/>
      <c r="C45" s="115"/>
      <c r="D45" s="118"/>
      <c r="E45" s="115"/>
      <c r="F45" s="119"/>
      <c r="G45" s="119"/>
      <c r="H45" s="115"/>
    </row>
    <row r="46" spans="1:8" ht="12.75">
      <c r="A46" s="117"/>
      <c r="B46" s="115"/>
      <c r="C46" s="115"/>
      <c r="D46" s="118"/>
      <c r="E46" s="115"/>
      <c r="F46" s="119"/>
      <c r="G46" s="119"/>
      <c r="H46" s="115"/>
    </row>
    <row r="47" spans="1:8" ht="12.75">
      <c r="A47" s="117"/>
      <c r="B47" s="115"/>
      <c r="C47" s="115"/>
      <c r="D47" s="118"/>
      <c r="E47" s="115"/>
      <c r="F47" s="203" t="s">
        <v>65</v>
      </c>
      <c r="G47" s="203"/>
      <c r="H47" s="203"/>
    </row>
    <row r="48" spans="1:8" ht="12.75">
      <c r="A48" s="120"/>
      <c r="B48" s="121"/>
      <c r="C48" s="121"/>
      <c r="D48" s="122"/>
      <c r="E48" s="115"/>
      <c r="F48" s="187" t="s">
        <v>45</v>
      </c>
      <c r="G48" s="187"/>
      <c r="H48" s="187"/>
    </row>
    <row r="49" spans="1:8" ht="12.75">
      <c r="A49" s="123"/>
      <c r="B49" s="123"/>
      <c r="C49" s="123"/>
      <c r="D49" s="123"/>
      <c r="E49" s="123"/>
      <c r="F49" s="123"/>
      <c r="G49" s="123"/>
      <c r="H49" s="124"/>
    </row>
    <row r="50" spans="1:8" ht="12.75">
      <c r="A50" s="123"/>
      <c r="B50" s="123"/>
      <c r="C50" s="123"/>
      <c r="D50" s="123"/>
      <c r="E50" s="123"/>
      <c r="F50" s="123"/>
      <c r="G50" s="123"/>
      <c r="H50" s="124"/>
    </row>
    <row r="51" spans="1:8" ht="12.75">
      <c r="A51" s="123"/>
      <c r="B51" s="123"/>
      <c r="C51" s="123"/>
      <c r="D51" s="123"/>
      <c r="E51" s="123"/>
      <c r="F51" s="123"/>
      <c r="G51" s="123"/>
      <c r="H51" s="124"/>
    </row>
    <row r="52" spans="1:8" ht="12.75">
      <c r="A52" s="123"/>
      <c r="B52" s="123"/>
      <c r="C52" s="123"/>
      <c r="D52" s="123"/>
      <c r="E52" s="123"/>
      <c r="F52" s="123"/>
      <c r="G52" s="123"/>
      <c r="H52" s="124"/>
    </row>
    <row r="53" spans="1:8" ht="12.75">
      <c r="A53" s="123"/>
      <c r="B53" s="123"/>
      <c r="C53" s="123"/>
      <c r="D53" s="123"/>
      <c r="E53" s="123"/>
      <c r="F53" s="123"/>
      <c r="G53" s="123"/>
      <c r="H53" s="124"/>
    </row>
    <row r="54" spans="1:8" ht="12.75">
      <c r="A54" s="123"/>
      <c r="B54" s="123"/>
      <c r="C54" s="123"/>
      <c r="D54" s="123"/>
      <c r="E54" s="123"/>
      <c r="F54" s="123"/>
      <c r="G54" s="123"/>
      <c r="H54" s="124"/>
    </row>
    <row r="55" spans="1:8" ht="12.75">
      <c r="A55" s="123"/>
      <c r="B55" s="123"/>
      <c r="C55" s="123"/>
      <c r="D55" s="123"/>
      <c r="E55" s="123"/>
      <c r="F55" s="123"/>
      <c r="G55" s="123"/>
      <c r="H55" s="124"/>
    </row>
  </sheetData>
  <sheetProtection password="CC69" sheet="1" selectLockedCells="1"/>
  <mergeCells count="30">
    <mergeCell ref="A33:F33"/>
    <mergeCell ref="G36:H36"/>
    <mergeCell ref="G33:H33"/>
    <mergeCell ref="F47:H47"/>
    <mergeCell ref="G22:H23"/>
    <mergeCell ref="C9:F9"/>
    <mergeCell ref="F48:H48"/>
    <mergeCell ref="G37:H37"/>
    <mergeCell ref="G38:H38"/>
    <mergeCell ref="G39:H39"/>
    <mergeCell ref="G40:H40"/>
    <mergeCell ref="A35:D35"/>
    <mergeCell ref="G32:H32"/>
    <mergeCell ref="A32:F32"/>
    <mergeCell ref="D5:E5"/>
    <mergeCell ref="B7:H7"/>
    <mergeCell ref="A9:B9"/>
    <mergeCell ref="A10:B10"/>
    <mergeCell ref="A20:F21"/>
    <mergeCell ref="G20:H21"/>
    <mergeCell ref="F6:H6"/>
    <mergeCell ref="G24:H25"/>
    <mergeCell ref="A24:F25"/>
    <mergeCell ref="A22:F23"/>
    <mergeCell ref="A1:B1"/>
    <mergeCell ref="F1:H3"/>
    <mergeCell ref="A2:B2"/>
    <mergeCell ref="A3:B3"/>
    <mergeCell ref="G5:H5"/>
    <mergeCell ref="B6:D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ignoredErrors>
    <ignoredError sqref="G3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mgerbaldo</dc:creator>
  <cp:keywords/>
  <dc:description/>
  <cp:lastModifiedBy>Maxi</cp:lastModifiedBy>
  <cp:lastPrinted>2021-03-30T00:33:05Z</cp:lastPrinted>
  <dcterms:created xsi:type="dcterms:W3CDTF">2013-08-22T16:44:55Z</dcterms:created>
  <dcterms:modified xsi:type="dcterms:W3CDTF">2021-07-15T14:21:13Z</dcterms:modified>
  <cp:category/>
  <cp:version/>
  <cp:contentType/>
  <cp:contentStatus/>
</cp:coreProperties>
</file>